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7235" windowHeight="10200" activeTab="0"/>
  </bookViews>
  <sheets>
    <sheet name="ic" sheetId="1" r:id="rId1"/>
    <sheet name="Small" sheetId="2" r:id="rId2"/>
    <sheet name="HB" sheetId="3" r:id="rId3"/>
    <sheet name="AMB" sheetId="4" r:id="rId4"/>
    <sheet name="SC" sheetId="5" r:id="rId5"/>
    <sheet name="MRG" sheetId="6" r:id="rId6"/>
  </sheets>
  <definedNames>
    <definedName name="HTML_CodePage" hidden="1">1252</definedName>
    <definedName name="HTML_Control" hidden="1">{"'ic'!$A$1:$R$44"}</definedName>
    <definedName name="HTML_Description" hidden="1">"Board &amp; Chip count for SVT production. Only most abundant/expensive components are indicated"</definedName>
    <definedName name="HTML_Email" hidden="1">"stefano.belforte@pi.infn.it"</definedName>
    <definedName name="HTML_Header" hidden="1">"ic"</definedName>
    <definedName name="HTML_LastUpdate" hidden="1">"4/24/98"</definedName>
    <definedName name="HTML_LineAfter" hidden="1">TRUE</definedName>
    <definedName name="HTML_LineBefore" hidden="1">TRUE</definedName>
    <definedName name="HTML_Name" hidden="1">"Stefano Belforte"</definedName>
    <definedName name="HTML_OBDlg2" hidden="1">TRUE</definedName>
    <definedName name="HTML_OBDlg4" hidden="1">TRUE</definedName>
    <definedName name="HTML_OS" hidden="1">0</definedName>
    <definedName name="HTML_PathFile" hidden="1">"C:\belforte\svt\ic.html"</definedName>
    <definedName name="HTML_Title" hidden="1">"ic"</definedName>
    <definedName name="_xlnm.Print_Area" localSheetId="0">'ic'!$A$1:$Z$44</definedName>
  </definedNames>
  <calcPr fullCalcOnLoad="1"/>
</workbook>
</file>

<file path=xl/sharedStrings.xml><?xml version="1.0" encoding="utf-8"?>
<sst xmlns="http://schemas.openxmlformats.org/spreadsheetml/2006/main" count="348" uniqueCount="164">
  <si>
    <t>BOARD AND CHIP COUNT</t>
  </si>
  <si>
    <t>board name</t>
  </si>
  <si>
    <t># in SVT</t>
  </si>
  <si>
    <t>total needed</t>
  </si>
  <si>
    <t>total to be built</t>
  </si>
  <si>
    <t>AMS</t>
  </si>
  <si>
    <t>HB</t>
  </si>
  <si>
    <t>AMB</t>
  </si>
  <si>
    <t>SC</t>
  </si>
  <si>
    <t>board acronym</t>
  </si>
  <si>
    <t>hit
buffer</t>
  </si>
  <si>
    <t>spy
control</t>
  </si>
  <si>
    <t>MRG</t>
  </si>
  <si>
    <t>IC part name</t>
  </si>
  <si>
    <t>total
cost
Mlit</t>
  </si>
  <si>
    <t>#total</t>
  </si>
  <si>
    <t>assoc.
memory
board</t>
  </si>
  <si>
    <t># used in each board</t>
  </si>
  <si>
    <t>merger</t>
  </si>
  <si>
    <t>unit cost
Klit</t>
  </si>
  <si>
    <t>KM681002B-10 : 32-SOJ-400 128kx8 ram</t>
  </si>
  <si>
    <t>KM681002B-10 : 32-TSOP-II 128kx8 ram</t>
  </si>
  <si>
    <t>CY7C4245-10JC 4kx18 fifo</t>
  </si>
  <si>
    <t>IDT 71B74-S8Y 8kx8 tag ram</t>
  </si>
  <si>
    <t>total
to buy</t>
  </si>
  <si>
    <t>KEL 8830E-052-170LH right angle plug</t>
  </si>
  <si>
    <t>QL12x16-0PF100C FPGA for GLUE3</t>
  </si>
  <si>
    <t>XC73144-10PQ160C Xilinx 144 cells</t>
  </si>
  <si>
    <t>XC7336-5PC44C Xilinx 36 cells</t>
  </si>
  <si>
    <t>SN74ABTE16245DL 16-bit tranceiver</t>
  </si>
  <si>
    <t>XTRP fanout</t>
  </si>
  <si>
    <t>DS90C031TM  LVDS driver</t>
  </si>
  <si>
    <t>DS90C032TM  LVDS receiver</t>
  </si>
  <si>
    <t>QL12x16-1PF100C FPGA for GLUE2/1</t>
  </si>
  <si>
    <t>XC73144-7PQ160C Xilinx 144 cells</t>
  </si>
  <si>
    <t># for  HF/TF production/repair at UC</t>
  </si>
  <si>
    <t># for  boards production/repair in Italy</t>
  </si>
  <si>
    <t># in test stand in B0 (phi slice)</t>
  </si>
  <si>
    <t># for AMS production/repair in Geneve</t>
  </si>
  <si>
    <t>spares (&gt;= 15%) (to be kept in B0)</t>
  </si>
  <si>
    <t>CY7C4245-10AC 4kx18 fifo</t>
  </si>
  <si>
    <t>SN74ABTE16246DL 11-bit OC tranceiver</t>
  </si>
  <si>
    <t>QL16x24-1PF144C FPGA for GLUE0</t>
  </si>
  <si>
    <t>vendor</t>
  </si>
  <si>
    <t>contac
via</t>
  </si>
  <si>
    <t>when</t>
  </si>
  <si>
    <t>offerta</t>
  </si>
  <si>
    <t>note</t>
  </si>
  <si>
    <t>Alta</t>
  </si>
  <si>
    <t>Annie</t>
  </si>
  <si>
    <t>2/98</t>
  </si>
  <si>
    <t>Ghelardi</t>
  </si>
  <si>
    <t>spare
%</t>
  </si>
  <si>
    <t>total + spare</t>
  </si>
  <si>
    <t>Avnet</t>
  </si>
  <si>
    <t>vendor
quote
Klit</t>
  </si>
  <si>
    <t>+ VAT (20% I 6.2% CH)</t>
  </si>
  <si>
    <t>61CHF</t>
  </si>
  <si>
    <t>4/98</t>
  </si>
  <si>
    <t>Vistel</t>
  </si>
  <si>
    <t>?</t>
  </si>
  <si>
    <t>OBS</t>
  </si>
  <si>
    <t>min
ord</t>
  </si>
  <si>
    <t>AMP 177983-2 female (receptacle) conn for Amplug</t>
  </si>
  <si>
    <t>AMP 177984-2 male (plug) conn for Amplug</t>
  </si>
  <si>
    <t>9/98</t>
  </si>
  <si>
    <t>QS74FCT2x245ATQ2 2x8-bit trans.</t>
  </si>
  <si>
    <t>R.S.</t>
  </si>
  <si>
    <t>catalogo</t>
  </si>
  <si>
    <t>QS74FCT257AT clock mux SMT</t>
  </si>
  <si>
    <t>QS74FCT521ATQ 8-bit comparator SMT</t>
  </si>
  <si>
    <t>SN74ALS540DW 8-bit inverter SMT</t>
  </si>
  <si>
    <r>
      <t xml:space="preserve">Miscellaneus Small Parts for </t>
    </r>
    <r>
      <rPr>
        <b/>
        <sz val="10"/>
        <rFont val="Geneva"/>
        <family val="0"/>
      </rPr>
      <t>AMBOARD</t>
    </r>
  </si>
  <si>
    <t># AMBoards to build:</t>
  </si>
  <si>
    <t>total cost one board</t>
  </si>
  <si>
    <t>contact
via</t>
  </si>
  <si>
    <t>total cost all parts including spares</t>
  </si>
  <si>
    <t>guess</t>
  </si>
  <si>
    <t>ALTEPF10K20RC208-4</t>
  </si>
  <si>
    <t>H74AC08M quad-AND gate SMT</t>
  </si>
  <si>
    <t># SC boards to build:</t>
  </si>
  <si>
    <t># HB boards to build:</t>
  </si>
  <si>
    <t>Miscellaneus Small Parts for SPY CONTROL</t>
  </si>
  <si>
    <t>MC10H350P ECL-TTL receiver</t>
  </si>
  <si>
    <t>10$</t>
  </si>
  <si>
    <t>web</t>
  </si>
  <si>
    <t>MAX701 reset chip</t>
  </si>
  <si>
    <t>connettore AMP LVDS</t>
  </si>
  <si>
    <t>motor</t>
  </si>
  <si>
    <t>Pinnacle</t>
  </si>
  <si>
    <t>CY7B992-5JC / QS5992-5JRI robo/turboCLK</t>
  </si>
  <si>
    <t>CY7B9920-5SC / QS59920-5SO jr.</t>
  </si>
  <si>
    <t>Claitron</t>
  </si>
  <si>
    <t>LASI</t>
  </si>
  <si>
    <t># MRG boards to build:</t>
  </si>
  <si>
    <t>board #</t>
  </si>
  <si>
    <t>n.d.</t>
  </si>
  <si>
    <t>11/98</t>
  </si>
  <si>
    <t>Miscellaneus Small Parts Summary</t>
  </si>
  <si>
    <t>TL7705ACD reset chip SOIC8</t>
  </si>
  <si>
    <t>manuf</t>
  </si>
  <si>
    <t>TI</t>
  </si>
  <si>
    <t>QS</t>
  </si>
  <si>
    <t>Motorola</t>
  </si>
  <si>
    <t>IDT</t>
  </si>
  <si>
    <r>
      <t xml:space="preserve">Miscellaneus Small Parts for </t>
    </r>
    <r>
      <rPr>
        <b/>
        <sz val="10"/>
        <rFont val="Geneva"/>
        <family val="0"/>
      </rPr>
      <t>HIT BUFFER</t>
    </r>
  </si>
  <si>
    <r>
      <t xml:space="preserve">Miscellaneus Small Parts for </t>
    </r>
    <r>
      <rPr>
        <b/>
        <sz val="10"/>
        <rFont val="Geneva"/>
        <family val="0"/>
      </rPr>
      <t>MERGER</t>
    </r>
  </si>
  <si>
    <t>Harris</t>
  </si>
  <si>
    <t>R.S.#833-670</t>
  </si>
  <si>
    <t>R.S.#857-301</t>
  </si>
  <si>
    <t>R.S.#857-604</t>
  </si>
  <si>
    <t>SN74ALS540DW 8-bit inverter SOIC16 300mil</t>
  </si>
  <si>
    <t>SN74ALS08D quad-AND gate SOIC14 150mil</t>
  </si>
  <si>
    <t>SN74ALS02D quad-NOR gate SOIC14 150mil</t>
  </si>
  <si>
    <t>SN74AS32D quad-OR gate SOIC14 150mil</t>
  </si>
  <si>
    <t xml:space="preserve">CD74HCT123M dual monost SOIC16 150mil </t>
  </si>
  <si>
    <t>QS74FCT257ATQ clock mux QSOP</t>
  </si>
  <si>
    <t>R.S.#857-272</t>
  </si>
  <si>
    <t>total +IVA Klit</t>
  </si>
  <si>
    <t>total impon Klit</t>
  </si>
  <si>
    <t>0.46$</t>
  </si>
  <si>
    <t>XTF-A</t>
  </si>
  <si>
    <t>AM27C512-55 64Kx8  EPROM</t>
  </si>
  <si>
    <t>XTF-C</t>
  </si>
  <si>
    <t xml:space="preserve">MC74HCT14AD </t>
  </si>
  <si>
    <t>MC74HCT14AD hex inverter</t>
  </si>
  <si>
    <t>R.S.#258-0479</t>
  </si>
  <si>
    <t>XTRP fanout for Ly00</t>
  </si>
  <si>
    <t>XTF-B</t>
  </si>
  <si>
    <t>XTRP receiver</t>
  </si>
  <si>
    <t>Arrow</t>
  </si>
  <si>
    <t>bouhgt@fnal</t>
  </si>
  <si>
    <t>IDT74FCT521ATSO 8-bit comparator SOIC20 300mil</t>
  </si>
  <si>
    <t>AVNET</t>
  </si>
  <si>
    <t>??</t>
  </si>
  <si>
    <t>EPM7512AEQC208-7 Altera PLD</t>
  </si>
  <si>
    <t>ALTEPF10K20RC240-3</t>
  </si>
  <si>
    <t>EPC2LC20</t>
  </si>
  <si>
    <t>Wyle</t>
  </si>
  <si>
    <t>9/99</t>
  </si>
  <si>
    <t>VERSION 6.1</t>
  </si>
  <si>
    <t>bought 1998</t>
  </si>
  <si>
    <t>bought 1999</t>
  </si>
  <si>
    <t>total in hand</t>
  </si>
  <si>
    <t>to buy 2000</t>
  </si>
  <si>
    <t>for 2000 update of IC's</t>
  </si>
  <si>
    <t>KM6161002B-10 : SOJ44 64x16 ram</t>
  </si>
  <si>
    <t>CY7C1049-20VC: 512kx8 ram</t>
  </si>
  <si>
    <t>bought!</t>
  </si>
  <si>
    <t>unit cost Klit</t>
  </si>
  <si>
    <t>total cost Mlit</t>
  </si>
  <si>
    <t>to buy</t>
  </si>
  <si>
    <t>+ IVA
20%</t>
  </si>
  <si>
    <t>9.5$</t>
  </si>
  <si>
    <t>2/00</t>
  </si>
  <si>
    <t>50$</t>
  </si>
  <si>
    <t>4.5$</t>
  </si>
  <si>
    <t>4.6$</t>
  </si>
  <si>
    <t>252$</t>
  </si>
  <si>
    <t>33.5$</t>
  </si>
  <si>
    <t>3.8$</t>
  </si>
  <si>
    <t>KEL</t>
  </si>
  <si>
    <t>TOTAL COST NEW PARTS</t>
  </si>
  <si>
    <t>30$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</si>
</sst>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"/>
    <numFmt numFmtId="173" formatCode="0.00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Geneva"/>
      <family val="0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 quotePrefix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 quotePrefix="1">
      <alignment horizontal="center"/>
      <protection locked="0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172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172" fontId="13" fillId="0" borderId="6" xfId="0" applyNumberFormat="1" applyFont="1" applyBorder="1" applyAlignment="1">
      <alignment horizontal="center"/>
    </xf>
    <xf numFmtId="17" fontId="6" fillId="0" borderId="0" xfId="0" applyNumberFormat="1" applyFont="1" applyAlignment="1" applyProtection="1" quotePrefix="1">
      <alignment horizontal="center"/>
      <protection locked="0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72" fontId="13" fillId="0" borderId="4" xfId="0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13" fillId="0" borderId="0" xfId="0" applyFont="1" applyFill="1" applyAlignment="1" applyProtection="1">
      <alignment horizontal="left"/>
      <protection locked="0"/>
    </xf>
    <xf numFmtId="17" fontId="6" fillId="0" borderId="0" xfId="0" applyNumberFormat="1" applyFont="1" applyAlignment="1" quotePrefix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22" fontId="4" fillId="0" borderId="1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8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quotePrefix="1">
      <alignment wrapText="1"/>
    </xf>
    <xf numFmtId="2" fontId="6" fillId="0" borderId="0" xfId="0" applyNumberFormat="1" applyFont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2" fontId="4" fillId="0" borderId="0" xfId="0" applyNumberFormat="1" applyFont="1" applyAlignment="1" applyProtection="1" quotePrefix="1">
      <alignment horizontal="center"/>
      <protection locked="0"/>
    </xf>
    <xf numFmtId="2" fontId="15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W44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0.75390625" style="6" customWidth="1"/>
    <col min="2" max="12" width="6.75390625" style="7" customWidth="1"/>
    <col min="13" max="14" width="7.75390625" style="7" customWidth="1"/>
    <col min="15" max="16" width="6.75390625" style="7" customWidth="1"/>
    <col min="17" max="20" width="4.75390625" style="7" customWidth="1"/>
    <col min="21" max="21" width="6.625" style="7" customWidth="1"/>
    <col min="22" max="22" width="6.75390625" style="7" customWidth="1"/>
    <col min="23" max="23" width="6.75390625" style="35" customWidth="1"/>
    <col min="24" max="25" width="6.75390625" style="7" customWidth="1"/>
    <col min="26" max="26" width="8.75390625" style="7" customWidth="1"/>
    <col min="27" max="27" width="0.875" style="6" hidden="1" customWidth="1"/>
    <col min="28" max="28" width="6.75390625" style="6" hidden="1" customWidth="1"/>
    <col min="29" max="48" width="11.375" style="6" hidden="1" customWidth="1"/>
    <col min="49" max="16384" width="11.375" style="6" customWidth="1"/>
  </cols>
  <sheetData>
    <row r="1" spans="1:26" s="12" customFormat="1" ht="14.25">
      <c r="A1" s="84">
        <f ca="1">NOW()</f>
        <v>35098.50442974537</v>
      </c>
      <c r="B1" s="22"/>
      <c r="C1" s="22"/>
      <c r="D1" s="11"/>
      <c r="F1" s="23"/>
      <c r="G1" s="23"/>
      <c r="J1" s="23"/>
      <c r="K1" s="10"/>
      <c r="Q1" s="10"/>
      <c r="R1" s="10"/>
      <c r="S1" s="10"/>
      <c r="T1" s="10"/>
      <c r="U1" s="10"/>
      <c r="V1" s="10"/>
      <c r="W1" s="32"/>
      <c r="X1" s="10"/>
      <c r="Y1" s="10"/>
      <c r="Z1" s="10"/>
    </row>
    <row r="2" spans="1:26" s="12" customFormat="1" ht="14.25">
      <c r="A2" s="12" t="s">
        <v>0</v>
      </c>
      <c r="B2" s="22" t="s">
        <v>140</v>
      </c>
      <c r="C2" s="22"/>
      <c r="D2" s="11"/>
      <c r="E2" s="84"/>
      <c r="F2" s="23"/>
      <c r="G2" s="23"/>
      <c r="J2" s="23"/>
      <c r="K2" s="10"/>
      <c r="Q2" s="10"/>
      <c r="R2" s="10"/>
      <c r="S2" s="10"/>
      <c r="T2" s="10"/>
      <c r="U2" s="10"/>
      <c r="V2" s="10"/>
      <c r="W2" s="32"/>
      <c r="X2" s="10"/>
      <c r="Y2" s="10"/>
      <c r="Z2" s="10"/>
    </row>
    <row r="3" spans="1:26" s="14" customFormat="1" ht="15" thickBot="1">
      <c r="A3" s="85" t="s">
        <v>145</v>
      </c>
      <c r="B3" s="17"/>
      <c r="C3" s="17"/>
      <c r="D3" s="17"/>
      <c r="E3" s="17"/>
      <c r="F3" s="17"/>
      <c r="G3" s="17"/>
      <c r="H3" s="17"/>
      <c r="I3" s="1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33"/>
      <c r="X3" s="13"/>
      <c r="Y3" s="13"/>
      <c r="Z3" s="13"/>
    </row>
    <row r="4" spans="1:23" s="2" customFormat="1" ht="34.5" customHeight="1">
      <c r="A4" s="3" t="s">
        <v>1</v>
      </c>
      <c r="B4" s="4" t="s">
        <v>10</v>
      </c>
      <c r="C4" s="4" t="s">
        <v>10</v>
      </c>
      <c r="D4" s="4" t="s">
        <v>16</v>
      </c>
      <c r="E4" s="5" t="s">
        <v>18</v>
      </c>
      <c r="F4" s="4" t="s">
        <v>11</v>
      </c>
      <c r="G4" s="4" t="s">
        <v>129</v>
      </c>
      <c r="H4" s="4" t="s">
        <v>30</v>
      </c>
      <c r="I4" s="4" t="s">
        <v>127</v>
      </c>
      <c r="J4" s="4"/>
      <c r="K4" s="4"/>
      <c r="L4" s="4"/>
      <c r="M4" s="4"/>
      <c r="N4" s="4"/>
      <c r="O4" s="4"/>
      <c r="P4" s="4"/>
      <c r="W4" s="34"/>
    </row>
    <row r="5" spans="1:26" s="1" customFormat="1" ht="12.75">
      <c r="A5" s="1" t="s">
        <v>9</v>
      </c>
      <c r="B5" s="2" t="s">
        <v>5</v>
      </c>
      <c r="C5" s="2" t="s">
        <v>6</v>
      </c>
      <c r="D5" s="2" t="s">
        <v>7</v>
      </c>
      <c r="E5" s="2" t="s">
        <v>12</v>
      </c>
      <c r="F5" s="2" t="s">
        <v>8</v>
      </c>
      <c r="G5" s="2" t="s">
        <v>121</v>
      </c>
      <c r="H5" s="2" t="s">
        <v>128</v>
      </c>
      <c r="I5" s="2" t="s">
        <v>123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4"/>
      <c r="X5" s="2"/>
      <c r="Y5" s="2"/>
      <c r="Z5" s="2"/>
    </row>
    <row r="6" spans="1:9" ht="12.75">
      <c r="A6" s="6" t="s">
        <v>2</v>
      </c>
      <c r="B6" s="18">
        <v>12</v>
      </c>
      <c r="C6" s="18">
        <v>12</v>
      </c>
      <c r="D6" s="18">
        <v>24</v>
      </c>
      <c r="E6" s="18">
        <v>16</v>
      </c>
      <c r="F6" s="18">
        <v>8</v>
      </c>
      <c r="G6" s="18">
        <v>1</v>
      </c>
      <c r="H6" s="18">
        <v>2</v>
      </c>
      <c r="I6" s="18">
        <v>6</v>
      </c>
    </row>
    <row r="7" spans="1:9" ht="12.75">
      <c r="A7" s="6" t="s">
        <v>37</v>
      </c>
      <c r="B7" s="18">
        <v>1</v>
      </c>
      <c r="C7" s="18">
        <v>1</v>
      </c>
      <c r="D7" s="18">
        <v>2</v>
      </c>
      <c r="E7" s="18">
        <v>1</v>
      </c>
      <c r="F7" s="18">
        <v>1</v>
      </c>
      <c r="G7" s="18">
        <v>1</v>
      </c>
      <c r="H7" s="18">
        <v>1</v>
      </c>
      <c r="I7" s="18"/>
    </row>
    <row r="8" spans="1:9" ht="12.75">
      <c r="A8" s="6" t="s">
        <v>35</v>
      </c>
      <c r="B8" s="18"/>
      <c r="C8" s="18"/>
      <c r="D8" s="18"/>
      <c r="E8" s="18">
        <v>1</v>
      </c>
      <c r="F8" s="18">
        <v>1</v>
      </c>
      <c r="G8" s="18"/>
      <c r="H8" s="18"/>
      <c r="I8" s="18"/>
    </row>
    <row r="9" spans="1:9" ht="12.75">
      <c r="A9" s="6" t="s">
        <v>38</v>
      </c>
      <c r="B9" s="18">
        <v>1</v>
      </c>
      <c r="C9" s="18"/>
      <c r="D9" s="18">
        <v>2</v>
      </c>
      <c r="E9" s="18">
        <v>1</v>
      </c>
      <c r="F9" s="18">
        <v>1</v>
      </c>
      <c r="G9" s="18"/>
      <c r="H9" s="18"/>
      <c r="I9" s="18"/>
    </row>
    <row r="10" spans="1:9" ht="12.75">
      <c r="A10" s="6" t="s">
        <v>36</v>
      </c>
      <c r="B10" s="18">
        <v>1</v>
      </c>
      <c r="C10" s="18">
        <v>1</v>
      </c>
      <c r="D10" s="18">
        <v>1</v>
      </c>
      <c r="E10" s="18">
        <v>7</v>
      </c>
      <c r="F10" s="18">
        <v>1</v>
      </c>
      <c r="G10" s="18"/>
      <c r="H10" s="18"/>
      <c r="I10" s="18"/>
    </row>
    <row r="11" spans="1:9" ht="12.75">
      <c r="A11" s="6" t="s">
        <v>3</v>
      </c>
      <c r="B11" s="7">
        <f>SUM(B6:B10)</f>
        <v>15</v>
      </c>
      <c r="C11" s="7">
        <f aca="true" t="shared" si="0" ref="C11:I11">SUM(C6:C10)</f>
        <v>14</v>
      </c>
      <c r="D11" s="7">
        <f t="shared" si="0"/>
        <v>29</v>
      </c>
      <c r="E11" s="7">
        <f t="shared" si="0"/>
        <v>26</v>
      </c>
      <c r="F11" s="7">
        <f t="shared" si="0"/>
        <v>12</v>
      </c>
      <c r="G11" s="7">
        <f t="shared" si="0"/>
        <v>2</v>
      </c>
      <c r="H11" s="7">
        <f t="shared" si="0"/>
        <v>3</v>
      </c>
      <c r="I11" s="7">
        <f t="shared" si="0"/>
        <v>6</v>
      </c>
    </row>
    <row r="12" spans="1:9" ht="12.75">
      <c r="A12" s="6" t="s">
        <v>39</v>
      </c>
      <c r="B12" s="18">
        <v>2</v>
      </c>
      <c r="C12" s="18">
        <v>2</v>
      </c>
      <c r="D12" s="18">
        <v>4</v>
      </c>
      <c r="E12" s="18">
        <v>4</v>
      </c>
      <c r="F12" s="18">
        <v>2</v>
      </c>
      <c r="G12" s="18">
        <v>1</v>
      </c>
      <c r="H12" s="18">
        <v>1</v>
      </c>
      <c r="I12" s="18">
        <v>1</v>
      </c>
    </row>
    <row r="13" spans="1:26" s="12" customFormat="1" ht="12.75">
      <c r="A13" s="12" t="s">
        <v>4</v>
      </c>
      <c r="B13" s="10">
        <f>SUM(B11:B12)</f>
        <v>17</v>
      </c>
      <c r="C13" s="10">
        <f aca="true" t="shared" si="1" ref="C13:I13">SUM(C11:C12)</f>
        <v>16</v>
      </c>
      <c r="D13" s="10">
        <f t="shared" si="1"/>
        <v>33</v>
      </c>
      <c r="E13" s="10">
        <f t="shared" si="1"/>
        <v>30</v>
      </c>
      <c r="F13" s="10">
        <f t="shared" si="1"/>
        <v>14</v>
      </c>
      <c r="G13" s="10">
        <f t="shared" si="1"/>
        <v>3</v>
      </c>
      <c r="H13" s="10">
        <f t="shared" si="1"/>
        <v>4</v>
      </c>
      <c r="I13" s="10">
        <f t="shared" si="1"/>
        <v>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32"/>
      <c r="X13" s="10"/>
      <c r="Y13" s="10"/>
      <c r="Z13" s="10"/>
    </row>
    <row r="14" spans="1:26" s="1" customFormat="1" ht="39.75" customHeight="1">
      <c r="A14" s="1" t="s">
        <v>13</v>
      </c>
      <c r="B14" s="7"/>
      <c r="C14" s="7"/>
      <c r="D14" s="7"/>
      <c r="E14" s="71"/>
      <c r="F14" s="7"/>
      <c r="G14" s="7"/>
      <c r="H14" s="7"/>
      <c r="I14" s="7"/>
      <c r="J14" s="2" t="s">
        <v>15</v>
      </c>
      <c r="K14" s="8" t="s">
        <v>52</v>
      </c>
      <c r="L14" s="9" t="s">
        <v>53</v>
      </c>
      <c r="M14" s="9" t="s">
        <v>141</v>
      </c>
      <c r="N14" s="9" t="s">
        <v>142</v>
      </c>
      <c r="O14" s="9" t="s">
        <v>143</v>
      </c>
      <c r="P14" s="9" t="s">
        <v>144</v>
      </c>
      <c r="Q14" s="20" t="s">
        <v>62</v>
      </c>
      <c r="R14" s="20" t="s">
        <v>151</v>
      </c>
      <c r="S14" s="20" t="s">
        <v>149</v>
      </c>
      <c r="T14" s="87" t="s">
        <v>152</v>
      </c>
      <c r="U14" s="86" t="s">
        <v>150</v>
      </c>
      <c r="V14" s="20" t="s">
        <v>55</v>
      </c>
      <c r="W14" s="36" t="s">
        <v>43</v>
      </c>
      <c r="X14" s="20" t="s">
        <v>44</v>
      </c>
      <c r="Y14" s="18" t="s">
        <v>45</v>
      </c>
      <c r="Z14" s="19" t="s">
        <v>47</v>
      </c>
    </row>
    <row r="15" spans="1:26" ht="12.75">
      <c r="A15" s="6" t="s">
        <v>29</v>
      </c>
      <c r="B15" s="18">
        <v>6</v>
      </c>
      <c r="C15" s="18">
        <v>6</v>
      </c>
      <c r="D15" s="18">
        <v>6</v>
      </c>
      <c r="E15" s="18">
        <v>6</v>
      </c>
      <c r="F15" s="18">
        <v>6</v>
      </c>
      <c r="G15" s="18">
        <v>6</v>
      </c>
      <c r="H15" s="18"/>
      <c r="I15" s="18">
        <v>6</v>
      </c>
      <c r="J15" s="7">
        <f>SUMPRODUCT(B15:I15,B$13:I$13)</f>
        <v>720</v>
      </c>
      <c r="K15" s="7">
        <v>30</v>
      </c>
      <c r="L15" s="7">
        <f aca="true" t="shared" si="2" ref="L15:L32">ROUND(J15*(1+K15/100),0)</f>
        <v>936</v>
      </c>
      <c r="M15" s="18">
        <v>720</v>
      </c>
      <c r="N15" s="18">
        <v>250</v>
      </c>
      <c r="O15" s="18">
        <f>M15+N15</f>
        <v>970</v>
      </c>
      <c r="P15" s="18">
        <f>L15-O15</f>
        <v>-34</v>
      </c>
      <c r="Q15" s="21">
        <v>1</v>
      </c>
      <c r="R15" s="21"/>
      <c r="S15" s="21"/>
      <c r="T15" s="21">
        <f>S15*1.2</f>
        <v>0</v>
      </c>
      <c r="U15" s="88">
        <f>(R15*T15)/1000</f>
        <v>0</v>
      </c>
      <c r="V15" s="21">
        <v>7.65</v>
      </c>
      <c r="W15" s="37" t="s">
        <v>59</v>
      </c>
      <c r="X15" s="18" t="s">
        <v>46</v>
      </c>
      <c r="Y15" s="21" t="s">
        <v>58</v>
      </c>
      <c r="Z15" s="30"/>
    </row>
    <row r="16" spans="1:26" s="24" customFormat="1" ht="12.75">
      <c r="A16" s="24" t="s">
        <v>41</v>
      </c>
      <c r="B16" s="25">
        <v>1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/>
      <c r="I16" s="25">
        <v>1</v>
      </c>
      <c r="J16" s="7">
        <f aca="true" t="shared" si="3" ref="J16:J36">SUMPRODUCT(B16:I16,B$13:I$13)</f>
        <v>120</v>
      </c>
      <c r="K16" s="26">
        <v>30</v>
      </c>
      <c r="L16" s="26">
        <f t="shared" si="2"/>
        <v>156</v>
      </c>
      <c r="M16" s="25">
        <v>130</v>
      </c>
      <c r="N16" s="25">
        <v>30</v>
      </c>
      <c r="O16" s="18">
        <f aca="true" t="shared" si="4" ref="O16:O36">M16+N16</f>
        <v>160</v>
      </c>
      <c r="P16" s="18">
        <f aca="true" t="shared" si="5" ref="P16:P36">L16-O16</f>
        <v>-4</v>
      </c>
      <c r="Q16" s="27">
        <v>1</v>
      </c>
      <c r="R16" s="27"/>
      <c r="S16" s="27"/>
      <c r="T16" s="21">
        <f aca="true" t="shared" si="6" ref="T16:T42">S16*1.2</f>
        <v>0</v>
      </c>
      <c r="U16" s="88">
        <f aca="true" t="shared" si="7" ref="U16:U42">(R16*T16)/1000</f>
        <v>0</v>
      </c>
      <c r="V16" s="27">
        <v>10.6</v>
      </c>
      <c r="W16" s="37" t="s">
        <v>59</v>
      </c>
      <c r="X16" s="18" t="s">
        <v>46</v>
      </c>
      <c r="Y16" s="21" t="s">
        <v>58</v>
      </c>
      <c r="Z16" s="30"/>
    </row>
    <row r="17" spans="1:26" ht="12.75">
      <c r="A17" s="1" t="s">
        <v>20</v>
      </c>
      <c r="B17" s="18">
        <v>11</v>
      </c>
      <c r="C17" s="18">
        <v>27</v>
      </c>
      <c r="D17" s="18"/>
      <c r="E17" s="18">
        <v>15</v>
      </c>
      <c r="F17" s="18"/>
      <c r="G17" s="18">
        <v>3</v>
      </c>
      <c r="H17" s="18"/>
      <c r="I17" s="18">
        <v>15</v>
      </c>
      <c r="J17" s="7">
        <f t="shared" si="3"/>
        <v>1183</v>
      </c>
      <c r="K17" s="7">
        <v>30</v>
      </c>
      <c r="L17" s="7">
        <f t="shared" si="2"/>
        <v>1538</v>
      </c>
      <c r="M17" s="18">
        <v>1200</v>
      </c>
      <c r="N17" s="18">
        <v>300</v>
      </c>
      <c r="O17" s="18">
        <f t="shared" si="4"/>
        <v>1500</v>
      </c>
      <c r="P17" s="19">
        <f t="shared" si="5"/>
        <v>38</v>
      </c>
      <c r="Q17" s="18">
        <v>1</v>
      </c>
      <c r="R17" s="18">
        <v>38</v>
      </c>
      <c r="S17" s="18">
        <v>20</v>
      </c>
      <c r="T17" s="21">
        <f t="shared" si="6"/>
        <v>24</v>
      </c>
      <c r="U17" s="90">
        <f t="shared" si="7"/>
        <v>0.912</v>
      </c>
      <c r="V17" s="18" t="s">
        <v>153</v>
      </c>
      <c r="W17" s="37" t="s">
        <v>130</v>
      </c>
      <c r="X17" s="18" t="s">
        <v>85</v>
      </c>
      <c r="Y17" s="21" t="s">
        <v>154</v>
      </c>
      <c r="Z17" s="30"/>
    </row>
    <row r="18" spans="1:26" ht="12.75">
      <c r="A18" s="6" t="s">
        <v>21</v>
      </c>
      <c r="B18" s="18"/>
      <c r="C18" s="18">
        <v>3</v>
      </c>
      <c r="D18" s="18"/>
      <c r="E18" s="18"/>
      <c r="F18" s="18"/>
      <c r="G18" s="18"/>
      <c r="H18" s="18"/>
      <c r="I18" s="18"/>
      <c r="J18" s="7">
        <f t="shared" si="3"/>
        <v>48</v>
      </c>
      <c r="K18" s="7">
        <v>30</v>
      </c>
      <c r="L18" s="7">
        <f t="shared" si="2"/>
        <v>62</v>
      </c>
      <c r="M18" s="18">
        <v>220</v>
      </c>
      <c r="N18" s="18"/>
      <c r="O18" s="18">
        <f t="shared" si="4"/>
        <v>220</v>
      </c>
      <c r="P18" s="18">
        <f t="shared" si="5"/>
        <v>-158</v>
      </c>
      <c r="Q18" s="18">
        <v>50</v>
      </c>
      <c r="R18" s="18"/>
      <c r="S18" s="18"/>
      <c r="T18" s="21">
        <f t="shared" si="6"/>
        <v>0</v>
      </c>
      <c r="U18" s="88">
        <f t="shared" si="7"/>
        <v>0</v>
      </c>
      <c r="V18" s="18">
        <v>9.5</v>
      </c>
      <c r="W18" s="37" t="s">
        <v>59</v>
      </c>
      <c r="X18" s="18" t="s">
        <v>46</v>
      </c>
      <c r="Y18" s="21" t="s">
        <v>58</v>
      </c>
      <c r="Z18" s="30"/>
    </row>
    <row r="19" spans="1:26" ht="12.75">
      <c r="A19" s="6" t="s">
        <v>146</v>
      </c>
      <c r="B19" s="18"/>
      <c r="C19" s="18"/>
      <c r="D19" s="18"/>
      <c r="E19" s="18"/>
      <c r="F19" s="18"/>
      <c r="G19" s="18">
        <v>6</v>
      </c>
      <c r="H19" s="18"/>
      <c r="I19" s="18"/>
      <c r="J19" s="7">
        <f>SUMPRODUCT(B19:I19,B$13:I$13)</f>
        <v>18</v>
      </c>
      <c r="K19" s="7">
        <v>30</v>
      </c>
      <c r="L19" s="7">
        <f>ROUND(J19*(1+K19/100),0)</f>
        <v>23</v>
      </c>
      <c r="M19" s="18"/>
      <c r="N19" s="18">
        <v>40</v>
      </c>
      <c r="O19" s="18">
        <f>M19+N19</f>
        <v>40</v>
      </c>
      <c r="P19" s="18">
        <f>L19-O19</f>
        <v>-17</v>
      </c>
      <c r="Q19" s="18">
        <v>1</v>
      </c>
      <c r="R19" s="18"/>
      <c r="S19" s="18"/>
      <c r="T19" s="21">
        <f t="shared" si="6"/>
        <v>0</v>
      </c>
      <c r="U19" s="88">
        <f t="shared" si="7"/>
        <v>0</v>
      </c>
      <c r="V19" s="18">
        <v>9.5</v>
      </c>
      <c r="W19" s="37" t="s">
        <v>59</v>
      </c>
      <c r="X19" s="18" t="s">
        <v>46</v>
      </c>
      <c r="Y19" s="21" t="s">
        <v>58</v>
      </c>
      <c r="Z19" s="30"/>
    </row>
    <row r="20" spans="1:48" ht="12.75">
      <c r="A20" s="1" t="s">
        <v>147</v>
      </c>
      <c r="B20" s="6"/>
      <c r="C20" s="6"/>
      <c r="D20" s="6"/>
      <c r="E20" s="6"/>
      <c r="F20" s="18"/>
      <c r="G20" s="18">
        <v>6</v>
      </c>
      <c r="H20" s="18"/>
      <c r="I20" s="18"/>
      <c r="J20" s="7">
        <f>SUMPRODUCT(B20:I20,B$13:I$13)</f>
        <v>18</v>
      </c>
      <c r="K20" s="7">
        <v>30</v>
      </c>
      <c r="L20" s="7">
        <f>ROUND(J20*(1+K20/100),0)</f>
        <v>23</v>
      </c>
      <c r="M20" s="18"/>
      <c r="N20" s="18">
        <v>8</v>
      </c>
      <c r="O20" s="18">
        <f t="shared" si="4"/>
        <v>8</v>
      </c>
      <c r="P20" s="19">
        <f>L20-O20</f>
        <v>15</v>
      </c>
      <c r="Q20" s="18">
        <v>1</v>
      </c>
      <c r="R20" s="18">
        <v>15</v>
      </c>
      <c r="S20" s="18">
        <v>60</v>
      </c>
      <c r="T20" s="21">
        <f t="shared" si="6"/>
        <v>72</v>
      </c>
      <c r="U20" s="90">
        <f t="shared" si="7"/>
        <v>1.08</v>
      </c>
      <c r="V20" s="18" t="s">
        <v>163</v>
      </c>
      <c r="W20" s="37" t="s">
        <v>130</v>
      </c>
      <c r="X20" s="18" t="s">
        <v>85</v>
      </c>
      <c r="Y20" s="69" t="s">
        <v>154</v>
      </c>
      <c r="Z20" s="6"/>
      <c r="AV20" s="6" t="s">
        <v>148</v>
      </c>
    </row>
    <row r="21" spans="1:26" ht="12.75">
      <c r="A21" s="6" t="s">
        <v>22</v>
      </c>
      <c r="B21" s="18">
        <v>2</v>
      </c>
      <c r="C21" s="18">
        <v>4</v>
      </c>
      <c r="D21" s="18"/>
      <c r="E21" s="18"/>
      <c r="F21" s="18"/>
      <c r="G21" s="18">
        <v>2</v>
      </c>
      <c r="H21" s="18"/>
      <c r="I21" s="18"/>
      <c r="J21" s="7">
        <f t="shared" si="3"/>
        <v>104</v>
      </c>
      <c r="K21" s="7">
        <v>30</v>
      </c>
      <c r="L21" s="7">
        <f t="shared" si="2"/>
        <v>135</v>
      </c>
      <c r="M21" s="18">
        <v>140</v>
      </c>
      <c r="N21" s="18">
        <v>40</v>
      </c>
      <c r="O21" s="18">
        <f t="shared" si="4"/>
        <v>180</v>
      </c>
      <c r="P21" s="18">
        <f>L21-O21</f>
        <v>-45</v>
      </c>
      <c r="Q21" s="18">
        <v>10</v>
      </c>
      <c r="R21" s="18"/>
      <c r="S21" s="18"/>
      <c r="T21" s="21">
        <f t="shared" si="6"/>
        <v>0</v>
      </c>
      <c r="U21" s="88">
        <f t="shared" si="7"/>
        <v>0</v>
      </c>
      <c r="V21" s="18">
        <v>52</v>
      </c>
      <c r="W21" s="37" t="s">
        <v>59</v>
      </c>
      <c r="X21" s="18" t="s">
        <v>46</v>
      </c>
      <c r="Y21" s="21" t="s">
        <v>58</v>
      </c>
      <c r="Z21" s="30"/>
    </row>
    <row r="22" spans="1:49" ht="12.75">
      <c r="A22" s="1" t="s">
        <v>40</v>
      </c>
      <c r="B22" s="18"/>
      <c r="C22" s="18"/>
      <c r="D22" s="18"/>
      <c r="E22" s="18">
        <v>8</v>
      </c>
      <c r="F22" s="18"/>
      <c r="G22" s="18">
        <v>4</v>
      </c>
      <c r="H22" s="18"/>
      <c r="I22" s="18">
        <v>8</v>
      </c>
      <c r="J22" s="7">
        <f t="shared" si="3"/>
        <v>308</v>
      </c>
      <c r="K22" s="7">
        <v>30</v>
      </c>
      <c r="L22" s="7">
        <f t="shared" si="2"/>
        <v>400</v>
      </c>
      <c r="M22" s="18">
        <v>340</v>
      </c>
      <c r="N22" s="18"/>
      <c r="O22" s="18">
        <f t="shared" si="4"/>
        <v>340</v>
      </c>
      <c r="P22" s="19">
        <f t="shared" si="5"/>
        <v>60</v>
      </c>
      <c r="Q22" s="18">
        <v>1</v>
      </c>
      <c r="R22" s="18">
        <v>10</v>
      </c>
      <c r="S22" s="18">
        <v>100</v>
      </c>
      <c r="T22" s="21">
        <f t="shared" si="6"/>
        <v>120</v>
      </c>
      <c r="U22" s="90">
        <f t="shared" si="7"/>
        <v>1.2</v>
      </c>
      <c r="V22" s="18" t="s">
        <v>155</v>
      </c>
      <c r="W22" s="37" t="s">
        <v>130</v>
      </c>
      <c r="X22" s="18" t="s">
        <v>85</v>
      </c>
      <c r="Y22" s="21" t="s">
        <v>154</v>
      </c>
      <c r="Z22" s="43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</row>
    <row r="23" spans="1:49" ht="12.75">
      <c r="A23" s="6" t="s">
        <v>23</v>
      </c>
      <c r="B23" s="18"/>
      <c r="C23" s="18">
        <v>8</v>
      </c>
      <c r="D23" s="18"/>
      <c r="E23" s="18"/>
      <c r="F23" s="25"/>
      <c r="G23" s="18"/>
      <c r="H23" s="18"/>
      <c r="I23" s="18"/>
      <c r="J23" s="7">
        <f t="shared" si="3"/>
        <v>128</v>
      </c>
      <c r="K23" s="7">
        <v>50</v>
      </c>
      <c r="L23" s="7">
        <f t="shared" si="2"/>
        <v>192</v>
      </c>
      <c r="M23" s="18">
        <v>189</v>
      </c>
      <c r="N23" s="18"/>
      <c r="O23" s="18">
        <f t="shared" si="4"/>
        <v>189</v>
      </c>
      <c r="P23" s="18">
        <f t="shared" si="5"/>
        <v>3</v>
      </c>
      <c r="Q23" s="18" t="s">
        <v>61</v>
      </c>
      <c r="R23" s="18"/>
      <c r="S23" s="18"/>
      <c r="T23" s="21">
        <f t="shared" si="6"/>
        <v>0</v>
      </c>
      <c r="U23" s="88">
        <f t="shared" si="7"/>
        <v>0</v>
      </c>
      <c r="V23" s="18">
        <v>21.5</v>
      </c>
      <c r="W23" s="37" t="s">
        <v>54</v>
      </c>
      <c r="X23" s="18" t="s">
        <v>46</v>
      </c>
      <c r="Y23" s="21" t="s">
        <v>58</v>
      </c>
      <c r="Z23" s="43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</row>
    <row r="24" spans="1:49" ht="12.75">
      <c r="A24" s="6" t="s">
        <v>90</v>
      </c>
      <c r="B24" s="18">
        <v>2</v>
      </c>
      <c r="C24" s="18">
        <v>4</v>
      </c>
      <c r="D24" s="18">
        <v>33</v>
      </c>
      <c r="E24" s="18">
        <v>1</v>
      </c>
      <c r="F24" s="18"/>
      <c r="G24" s="18">
        <v>1</v>
      </c>
      <c r="H24" s="18">
        <v>2</v>
      </c>
      <c r="I24" s="18">
        <v>1</v>
      </c>
      <c r="J24" s="7">
        <f t="shared" si="3"/>
        <v>1235</v>
      </c>
      <c r="K24" s="7">
        <v>30</v>
      </c>
      <c r="L24" s="7">
        <f t="shared" si="2"/>
        <v>1606</v>
      </c>
      <c r="M24" s="18">
        <v>1600</v>
      </c>
      <c r="N24" s="18">
        <v>100</v>
      </c>
      <c r="O24" s="18">
        <f t="shared" si="4"/>
        <v>1700</v>
      </c>
      <c r="P24" s="18">
        <f t="shared" si="5"/>
        <v>-94</v>
      </c>
      <c r="Q24" s="18" t="s">
        <v>96</v>
      </c>
      <c r="R24" s="18"/>
      <c r="S24" s="18"/>
      <c r="T24" s="21">
        <f t="shared" si="6"/>
        <v>0</v>
      </c>
      <c r="U24" s="88">
        <f t="shared" si="7"/>
        <v>0</v>
      </c>
      <c r="V24" s="18">
        <v>17.6</v>
      </c>
      <c r="W24" s="37" t="s">
        <v>89</v>
      </c>
      <c r="X24" s="18" t="s">
        <v>46</v>
      </c>
      <c r="Y24" s="21" t="s">
        <v>97</v>
      </c>
      <c r="Z24" s="89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</row>
    <row r="25" spans="1:49" ht="12.75" customHeight="1">
      <c r="A25" s="6" t="s">
        <v>91</v>
      </c>
      <c r="B25" s="18"/>
      <c r="C25" s="18"/>
      <c r="D25" s="18">
        <v>2</v>
      </c>
      <c r="E25" s="18">
        <v>1</v>
      </c>
      <c r="F25" s="18"/>
      <c r="G25" s="18">
        <v>1</v>
      </c>
      <c r="H25" s="18"/>
      <c r="I25" s="18">
        <v>1</v>
      </c>
      <c r="J25" s="7">
        <f t="shared" si="3"/>
        <v>106</v>
      </c>
      <c r="K25" s="7">
        <v>30</v>
      </c>
      <c r="L25" s="7">
        <f t="shared" si="2"/>
        <v>138</v>
      </c>
      <c r="M25" s="18">
        <v>98</v>
      </c>
      <c r="N25" s="18">
        <v>40</v>
      </c>
      <c r="O25" s="18">
        <f t="shared" si="4"/>
        <v>138</v>
      </c>
      <c r="P25" s="18">
        <f t="shared" si="5"/>
        <v>0</v>
      </c>
      <c r="Q25" s="18">
        <v>98</v>
      </c>
      <c r="R25" s="18"/>
      <c r="S25" s="18"/>
      <c r="T25" s="21">
        <f t="shared" si="6"/>
        <v>0</v>
      </c>
      <c r="U25" s="88">
        <f t="shared" si="7"/>
        <v>0</v>
      </c>
      <c r="V25" s="18">
        <v>13.8</v>
      </c>
      <c r="W25" s="37" t="s">
        <v>89</v>
      </c>
      <c r="X25" s="18" t="s">
        <v>46</v>
      </c>
      <c r="Y25" s="21" t="s">
        <v>97</v>
      </c>
      <c r="Z25" s="89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</row>
    <row r="26" spans="1:26" ht="12.75" customHeight="1">
      <c r="A26" s="6" t="s">
        <v>31</v>
      </c>
      <c r="B26" s="18">
        <v>7</v>
      </c>
      <c r="C26" s="18">
        <v>8</v>
      </c>
      <c r="D26" s="18"/>
      <c r="E26" s="18">
        <v>16</v>
      </c>
      <c r="F26" s="18">
        <v>1</v>
      </c>
      <c r="G26" s="18">
        <v>1</v>
      </c>
      <c r="H26" s="18">
        <v>36</v>
      </c>
      <c r="I26" s="18">
        <v>16</v>
      </c>
      <c r="J26" s="7">
        <f t="shared" si="3"/>
        <v>1000</v>
      </c>
      <c r="K26" s="7">
        <v>30</v>
      </c>
      <c r="L26" s="7">
        <f t="shared" si="2"/>
        <v>1300</v>
      </c>
      <c r="M26" s="18">
        <v>960</v>
      </c>
      <c r="N26" s="18">
        <v>300</v>
      </c>
      <c r="O26" s="18">
        <f t="shared" si="4"/>
        <v>1260</v>
      </c>
      <c r="P26" s="19">
        <f t="shared" si="5"/>
        <v>40</v>
      </c>
      <c r="Q26" s="18">
        <v>1</v>
      </c>
      <c r="R26" s="18">
        <v>40</v>
      </c>
      <c r="S26" s="18">
        <v>9</v>
      </c>
      <c r="T26" s="21">
        <f t="shared" si="6"/>
        <v>10.799999999999999</v>
      </c>
      <c r="U26" s="90">
        <f t="shared" si="7"/>
        <v>0.43199999999999994</v>
      </c>
      <c r="V26" s="18" t="s">
        <v>156</v>
      </c>
      <c r="W26" s="37" t="s">
        <v>130</v>
      </c>
      <c r="X26" s="18" t="s">
        <v>85</v>
      </c>
      <c r="Y26" s="21" t="s">
        <v>154</v>
      </c>
      <c r="Z26" s="29"/>
    </row>
    <row r="27" spans="1:26" ht="12.75">
      <c r="A27" s="6" t="s">
        <v>32</v>
      </c>
      <c r="B27" s="18">
        <v>7</v>
      </c>
      <c r="C27" s="18">
        <v>13</v>
      </c>
      <c r="D27" s="18"/>
      <c r="E27" s="18">
        <v>26</v>
      </c>
      <c r="F27" s="18">
        <v>1</v>
      </c>
      <c r="G27" s="18">
        <v>23</v>
      </c>
      <c r="H27" s="18">
        <v>6</v>
      </c>
      <c r="I27" s="18">
        <v>26</v>
      </c>
      <c r="J27" s="7">
        <f t="shared" si="3"/>
        <v>1396</v>
      </c>
      <c r="K27" s="7">
        <v>30</v>
      </c>
      <c r="L27" s="7">
        <f t="shared" si="2"/>
        <v>1815</v>
      </c>
      <c r="M27" s="18">
        <v>1248</v>
      </c>
      <c r="N27" s="18">
        <v>400</v>
      </c>
      <c r="O27" s="18">
        <f t="shared" si="4"/>
        <v>1648</v>
      </c>
      <c r="P27" s="19">
        <f t="shared" si="5"/>
        <v>167</v>
      </c>
      <c r="Q27" s="18">
        <v>1</v>
      </c>
      <c r="R27" s="18">
        <v>167</v>
      </c>
      <c r="S27" s="18">
        <v>9.5</v>
      </c>
      <c r="T27" s="21">
        <f t="shared" si="6"/>
        <v>11.4</v>
      </c>
      <c r="U27" s="90">
        <f t="shared" si="7"/>
        <v>1.9038</v>
      </c>
      <c r="V27" s="18" t="s">
        <v>157</v>
      </c>
      <c r="W27" s="37" t="s">
        <v>130</v>
      </c>
      <c r="X27" s="18" t="s">
        <v>85</v>
      </c>
      <c r="Y27" s="21" t="s">
        <v>154</v>
      </c>
      <c r="Z27" s="29"/>
    </row>
    <row r="28" spans="1:26" ht="12.75">
      <c r="A28" s="1" t="s">
        <v>25</v>
      </c>
      <c r="B28" s="18"/>
      <c r="C28" s="18">
        <v>3</v>
      </c>
      <c r="D28" s="18"/>
      <c r="E28" s="18">
        <v>6</v>
      </c>
      <c r="F28" s="18"/>
      <c r="G28" s="18">
        <v>1</v>
      </c>
      <c r="H28" s="18">
        <v>6</v>
      </c>
      <c r="I28" s="18">
        <v>6</v>
      </c>
      <c r="J28" s="7">
        <f t="shared" si="3"/>
        <v>297</v>
      </c>
      <c r="K28" s="7">
        <v>30</v>
      </c>
      <c r="L28" s="7">
        <f t="shared" si="2"/>
        <v>386</v>
      </c>
      <c r="M28" s="18">
        <v>380</v>
      </c>
      <c r="N28" s="18"/>
      <c r="O28" s="18">
        <f t="shared" si="4"/>
        <v>380</v>
      </c>
      <c r="P28" s="19">
        <f t="shared" si="5"/>
        <v>6</v>
      </c>
      <c r="Q28" s="18">
        <v>25</v>
      </c>
      <c r="R28" s="18">
        <v>25</v>
      </c>
      <c r="S28" s="18">
        <v>9</v>
      </c>
      <c r="T28" s="21">
        <f t="shared" si="6"/>
        <v>10.799999999999999</v>
      </c>
      <c r="U28" s="90">
        <f t="shared" si="7"/>
        <v>0.27</v>
      </c>
      <c r="V28" s="18">
        <v>9.1</v>
      </c>
      <c r="W28" s="37" t="s">
        <v>161</v>
      </c>
      <c r="X28" s="18" t="s">
        <v>46</v>
      </c>
      <c r="Y28" s="21" t="s">
        <v>50</v>
      </c>
      <c r="Z28" s="29"/>
    </row>
    <row r="29" spans="1:28" ht="12.75">
      <c r="A29" s="1" t="s">
        <v>135</v>
      </c>
      <c r="B29" s="18"/>
      <c r="C29" s="18"/>
      <c r="D29" s="18"/>
      <c r="E29" s="18">
        <v>5</v>
      </c>
      <c r="F29" s="18"/>
      <c r="G29" s="18"/>
      <c r="H29" s="18"/>
      <c r="I29" s="18">
        <v>5</v>
      </c>
      <c r="J29" s="7">
        <f>SUMPRODUCT(B29:I29,B$13:I$13)</f>
        <v>185</v>
      </c>
      <c r="K29" s="7">
        <v>30</v>
      </c>
      <c r="L29" s="7">
        <f>ROUND(J29*(1+K29/100),0)</f>
        <v>241</v>
      </c>
      <c r="M29" s="18">
        <v>24</v>
      </c>
      <c r="N29" s="18">
        <v>168</v>
      </c>
      <c r="O29" s="18">
        <f>M29+N29</f>
        <v>192</v>
      </c>
      <c r="P29" s="19">
        <f>L29-O29</f>
        <v>49</v>
      </c>
      <c r="Q29" s="18">
        <v>24</v>
      </c>
      <c r="R29" s="18">
        <v>49</v>
      </c>
      <c r="S29" s="18">
        <v>420</v>
      </c>
      <c r="T29" s="21">
        <f t="shared" si="6"/>
        <v>504</v>
      </c>
      <c r="U29" s="90">
        <f t="shared" si="7"/>
        <v>24.696</v>
      </c>
      <c r="V29" s="18" t="s">
        <v>158</v>
      </c>
      <c r="W29" s="37" t="s">
        <v>130</v>
      </c>
      <c r="X29" s="18" t="s">
        <v>85</v>
      </c>
      <c r="Y29" s="21" t="s">
        <v>154</v>
      </c>
      <c r="Z29" s="30"/>
      <c r="AA29"/>
      <c r="AB29"/>
    </row>
    <row r="30" spans="1:28" ht="12.75">
      <c r="A30" s="1" t="s">
        <v>137</v>
      </c>
      <c r="B30" s="18"/>
      <c r="C30" s="18"/>
      <c r="D30" s="18"/>
      <c r="E30" s="18"/>
      <c r="F30" s="18">
        <v>1</v>
      </c>
      <c r="G30" s="18">
        <v>7</v>
      </c>
      <c r="H30" s="18">
        <v>1</v>
      </c>
      <c r="I30" s="18"/>
      <c r="J30" s="7">
        <f t="shared" si="3"/>
        <v>39</v>
      </c>
      <c r="K30" s="7">
        <v>30</v>
      </c>
      <c r="L30" s="7">
        <f>ROUND(J30*(1+K30/100),0)</f>
        <v>51</v>
      </c>
      <c r="M30" s="18"/>
      <c r="N30" s="18">
        <v>25</v>
      </c>
      <c r="O30" s="18">
        <f t="shared" si="4"/>
        <v>25</v>
      </c>
      <c r="P30" s="19">
        <f t="shared" si="5"/>
        <v>26</v>
      </c>
      <c r="Q30" s="18">
        <v>25</v>
      </c>
      <c r="R30" s="18">
        <v>26</v>
      </c>
      <c r="S30" s="18">
        <v>67</v>
      </c>
      <c r="T30" s="21">
        <f t="shared" si="6"/>
        <v>80.39999999999999</v>
      </c>
      <c r="U30" s="90">
        <f t="shared" si="7"/>
        <v>2.0904</v>
      </c>
      <c r="V30" s="18" t="s">
        <v>159</v>
      </c>
      <c r="W30" s="37" t="s">
        <v>130</v>
      </c>
      <c r="X30" s="18" t="s">
        <v>85</v>
      </c>
      <c r="Y30" s="21" t="s">
        <v>154</v>
      </c>
      <c r="Z30" s="30"/>
      <c r="AA30"/>
      <c r="AB30"/>
    </row>
    <row r="31" spans="1:28" ht="12.75">
      <c r="A31" s="6" t="s">
        <v>136</v>
      </c>
      <c r="B31" s="18"/>
      <c r="C31" s="18"/>
      <c r="D31" s="18"/>
      <c r="E31" s="18"/>
      <c r="F31" s="18"/>
      <c r="G31" s="18">
        <v>7</v>
      </c>
      <c r="H31" s="18">
        <v>1</v>
      </c>
      <c r="I31" s="18"/>
      <c r="J31" s="7">
        <f t="shared" si="3"/>
        <v>25</v>
      </c>
      <c r="K31" s="7">
        <v>30</v>
      </c>
      <c r="L31" s="7">
        <f t="shared" si="2"/>
        <v>33</v>
      </c>
      <c r="M31" s="18"/>
      <c r="N31" s="18">
        <v>32</v>
      </c>
      <c r="O31" s="18">
        <f t="shared" si="4"/>
        <v>32</v>
      </c>
      <c r="P31" s="18">
        <f t="shared" si="5"/>
        <v>1</v>
      </c>
      <c r="Q31" s="18">
        <v>24</v>
      </c>
      <c r="R31" s="18"/>
      <c r="S31" s="18"/>
      <c r="T31" s="21">
        <f t="shared" si="6"/>
        <v>0</v>
      </c>
      <c r="U31" s="88">
        <f t="shared" si="7"/>
        <v>0</v>
      </c>
      <c r="V31" s="18" t="s">
        <v>134</v>
      </c>
      <c r="W31" s="37" t="s">
        <v>138</v>
      </c>
      <c r="X31" s="18" t="s">
        <v>85</v>
      </c>
      <c r="Y31" s="69" t="s">
        <v>139</v>
      </c>
      <c r="Z31" s="30"/>
      <c r="AA31"/>
      <c r="AB31"/>
    </row>
    <row r="32" spans="1:28" ht="12.75">
      <c r="A32" s="6" t="s">
        <v>78</v>
      </c>
      <c r="B32" s="18"/>
      <c r="C32" s="18"/>
      <c r="D32" s="18"/>
      <c r="E32" s="18"/>
      <c r="F32" s="18">
        <v>1</v>
      </c>
      <c r="G32" s="18"/>
      <c r="H32" s="18"/>
      <c r="I32" s="18"/>
      <c r="J32" s="7">
        <f t="shared" si="3"/>
        <v>14</v>
      </c>
      <c r="K32" s="7">
        <v>30</v>
      </c>
      <c r="L32" s="7">
        <f t="shared" si="2"/>
        <v>18</v>
      </c>
      <c r="M32" s="18">
        <v>24</v>
      </c>
      <c r="N32" s="18"/>
      <c r="O32" s="18">
        <f t="shared" si="4"/>
        <v>24</v>
      </c>
      <c r="P32" s="18">
        <f t="shared" si="5"/>
        <v>-6</v>
      </c>
      <c r="Q32" s="18">
        <v>24</v>
      </c>
      <c r="R32" s="18"/>
      <c r="S32" s="18"/>
      <c r="T32" s="21">
        <f t="shared" si="6"/>
        <v>0</v>
      </c>
      <c r="U32" s="88">
        <f t="shared" si="7"/>
        <v>0</v>
      </c>
      <c r="V32" s="18">
        <v>76.5</v>
      </c>
      <c r="W32" s="37" t="s">
        <v>93</v>
      </c>
      <c r="X32" s="18" t="s">
        <v>46</v>
      </c>
      <c r="Y32" s="21" t="s">
        <v>65</v>
      </c>
      <c r="Z32" s="29"/>
      <c r="AA32"/>
      <c r="AB32"/>
    </row>
    <row r="33" spans="1:28" s="38" customFormat="1" ht="12.75">
      <c r="A33" s="39" t="s">
        <v>122</v>
      </c>
      <c r="B33" s="40"/>
      <c r="C33" s="40">
        <v>1</v>
      </c>
      <c r="D33" s="40">
        <v>1</v>
      </c>
      <c r="E33" s="40">
        <v>1</v>
      </c>
      <c r="F33" s="40">
        <v>1</v>
      </c>
      <c r="G33" s="40">
        <v>1</v>
      </c>
      <c r="H33" s="40"/>
      <c r="I33" s="40">
        <v>1</v>
      </c>
      <c r="J33" s="7">
        <f>SUMPRODUCT(B33:I33,B$13:I$13)</f>
        <v>103</v>
      </c>
      <c r="K33" s="31">
        <v>30</v>
      </c>
      <c r="L33" s="31">
        <f aca="true" t="shared" si="8" ref="L33:L42">ROUND(J33*(1+K33/100),0)</f>
        <v>134</v>
      </c>
      <c r="M33" s="40">
        <v>120</v>
      </c>
      <c r="N33" s="40"/>
      <c r="O33" s="18">
        <f>M33+N33</f>
        <v>120</v>
      </c>
      <c r="P33" s="19">
        <f t="shared" si="5"/>
        <v>14</v>
      </c>
      <c r="Q33" s="40">
        <v>1</v>
      </c>
      <c r="R33" s="40">
        <v>13</v>
      </c>
      <c r="S33" s="40">
        <v>8</v>
      </c>
      <c r="T33" s="21">
        <f t="shared" si="6"/>
        <v>9.6</v>
      </c>
      <c r="U33" s="90">
        <f t="shared" si="7"/>
        <v>0.1248</v>
      </c>
      <c r="V33" s="40" t="s">
        <v>160</v>
      </c>
      <c r="W33" s="41" t="s">
        <v>130</v>
      </c>
      <c r="X33" s="40" t="s">
        <v>85</v>
      </c>
      <c r="Y33" s="21" t="s">
        <v>154</v>
      </c>
      <c r="Z33" s="43"/>
      <c r="AA33"/>
      <c r="AB33"/>
    </row>
    <row r="34" spans="1:28" ht="12.75">
      <c r="A34" s="6" t="s">
        <v>63</v>
      </c>
      <c r="B34" s="18"/>
      <c r="C34" s="18"/>
      <c r="D34" s="18">
        <v>16</v>
      </c>
      <c r="E34" s="18"/>
      <c r="F34" s="18"/>
      <c r="G34" s="18"/>
      <c r="H34" s="18"/>
      <c r="I34" s="18"/>
      <c r="J34" s="7">
        <f t="shared" si="3"/>
        <v>528</v>
      </c>
      <c r="K34" s="7">
        <v>40</v>
      </c>
      <c r="L34" s="7">
        <f t="shared" si="8"/>
        <v>739</v>
      </c>
      <c r="M34" s="18">
        <v>800</v>
      </c>
      <c r="N34" s="18"/>
      <c r="O34" s="18">
        <f t="shared" si="4"/>
        <v>800</v>
      </c>
      <c r="P34" s="18">
        <f t="shared" si="5"/>
        <v>-61</v>
      </c>
      <c r="Q34" s="18">
        <v>800</v>
      </c>
      <c r="R34" s="18"/>
      <c r="S34" s="18"/>
      <c r="T34" s="21">
        <f t="shared" si="6"/>
        <v>0</v>
      </c>
      <c r="U34" s="88">
        <f t="shared" si="7"/>
        <v>0</v>
      </c>
      <c r="V34" s="18">
        <v>2.45</v>
      </c>
      <c r="W34" s="37" t="s">
        <v>48</v>
      </c>
      <c r="X34" s="18" t="s">
        <v>46</v>
      </c>
      <c r="Y34" s="21" t="s">
        <v>65</v>
      </c>
      <c r="Z34" s="29"/>
      <c r="AA34"/>
      <c r="AB34"/>
    </row>
    <row r="35" spans="1:28" ht="12.75">
      <c r="A35" s="6" t="s">
        <v>64</v>
      </c>
      <c r="B35" s="18"/>
      <c r="C35" s="18"/>
      <c r="D35" s="18">
        <v>16</v>
      </c>
      <c r="E35" s="18"/>
      <c r="F35" s="18"/>
      <c r="G35" s="18"/>
      <c r="H35" s="18"/>
      <c r="I35" s="18"/>
      <c r="J35" s="7">
        <f t="shared" si="3"/>
        <v>528</v>
      </c>
      <c r="K35" s="7">
        <v>40</v>
      </c>
      <c r="L35" s="7">
        <f t="shared" si="8"/>
        <v>739</v>
      </c>
      <c r="M35" s="18">
        <v>800</v>
      </c>
      <c r="N35" s="18"/>
      <c r="O35" s="18">
        <f t="shared" si="4"/>
        <v>800</v>
      </c>
      <c r="P35" s="18">
        <f t="shared" si="5"/>
        <v>-61</v>
      </c>
      <c r="Q35" s="18">
        <v>800</v>
      </c>
      <c r="R35" s="18"/>
      <c r="S35" s="18"/>
      <c r="T35" s="21">
        <f t="shared" si="6"/>
        <v>0</v>
      </c>
      <c r="U35" s="88">
        <f t="shared" si="7"/>
        <v>0</v>
      </c>
      <c r="V35" s="18">
        <v>2.45</v>
      </c>
      <c r="W35" s="37" t="s">
        <v>48</v>
      </c>
      <c r="X35" s="18" t="s">
        <v>46</v>
      </c>
      <c r="Y35" s="21" t="s">
        <v>65</v>
      </c>
      <c r="Z35" s="29"/>
      <c r="AA35"/>
      <c r="AB35"/>
    </row>
    <row r="36" spans="1:28" ht="12.75">
      <c r="A36" s="6" t="s">
        <v>87</v>
      </c>
      <c r="B36" s="18"/>
      <c r="C36" s="18"/>
      <c r="D36" s="18"/>
      <c r="E36" s="18"/>
      <c r="F36" s="18">
        <v>2</v>
      </c>
      <c r="G36" s="18"/>
      <c r="H36" s="18"/>
      <c r="I36" s="18"/>
      <c r="J36" s="7">
        <f t="shared" si="3"/>
        <v>28</v>
      </c>
      <c r="K36" s="7">
        <v>40</v>
      </c>
      <c r="L36" s="7">
        <f t="shared" si="8"/>
        <v>39</v>
      </c>
      <c r="M36" s="18"/>
      <c r="N36" s="18">
        <v>40</v>
      </c>
      <c r="O36" s="18">
        <f t="shared" si="4"/>
        <v>40</v>
      </c>
      <c r="P36" s="18">
        <f t="shared" si="5"/>
        <v>-1</v>
      </c>
      <c r="Q36" s="18" t="s">
        <v>60</v>
      </c>
      <c r="R36" s="18"/>
      <c r="S36" s="18"/>
      <c r="T36" s="21">
        <f t="shared" si="6"/>
        <v>0</v>
      </c>
      <c r="U36" s="88">
        <f t="shared" si="7"/>
        <v>0</v>
      </c>
      <c r="V36" s="18">
        <v>2.45</v>
      </c>
      <c r="W36" s="37" t="s">
        <v>60</v>
      </c>
      <c r="X36" s="18" t="s">
        <v>77</v>
      </c>
      <c r="Y36" s="21" t="s">
        <v>65</v>
      </c>
      <c r="Z36" s="29"/>
      <c r="AA36"/>
      <c r="AB36"/>
    </row>
    <row r="37" spans="1:26" ht="12.75">
      <c r="A37" s="6" t="s">
        <v>26</v>
      </c>
      <c r="B37" s="18">
        <v>1</v>
      </c>
      <c r="C37" s="18"/>
      <c r="D37" s="18"/>
      <c r="E37" s="18"/>
      <c r="F37" s="18"/>
      <c r="G37" s="18"/>
      <c r="H37" s="18"/>
      <c r="I37" s="18"/>
      <c r="J37" s="7">
        <f aca="true" t="shared" si="9" ref="J37:J42">SUMPRODUCT(B37:I37,B$13:I$13)</f>
        <v>17</v>
      </c>
      <c r="K37" s="7">
        <v>40</v>
      </c>
      <c r="L37" s="7">
        <f t="shared" si="8"/>
        <v>24</v>
      </c>
      <c r="M37" s="18">
        <v>25</v>
      </c>
      <c r="N37" s="18"/>
      <c r="O37" s="18">
        <f aca="true" t="shared" si="10" ref="O37:O42">M37+N37</f>
        <v>25</v>
      </c>
      <c r="P37" s="18">
        <f aca="true" t="shared" si="11" ref="P37:P42">L37-O37</f>
        <v>-1</v>
      </c>
      <c r="Q37" s="18">
        <v>1</v>
      </c>
      <c r="R37" s="18"/>
      <c r="S37" s="18"/>
      <c r="T37" s="21">
        <f t="shared" si="6"/>
        <v>0</v>
      </c>
      <c r="U37" s="88">
        <f t="shared" si="7"/>
        <v>0</v>
      </c>
      <c r="V37" s="18">
        <v>56.5</v>
      </c>
      <c r="W37" s="37" t="s">
        <v>51</v>
      </c>
      <c r="X37" s="18" t="s">
        <v>46</v>
      </c>
      <c r="Y37" s="21" t="s">
        <v>58</v>
      </c>
      <c r="Z37" s="30"/>
    </row>
    <row r="38" spans="1:26" ht="12.75">
      <c r="A38" s="6" t="s">
        <v>33</v>
      </c>
      <c r="B38" s="18"/>
      <c r="C38" s="18"/>
      <c r="D38" s="18">
        <v>5</v>
      </c>
      <c r="E38" s="18"/>
      <c r="F38" s="18"/>
      <c r="G38" s="18"/>
      <c r="H38" s="18"/>
      <c r="I38" s="18"/>
      <c r="J38" s="7">
        <f t="shared" si="9"/>
        <v>165</v>
      </c>
      <c r="K38" s="7">
        <v>40</v>
      </c>
      <c r="L38" s="7">
        <f t="shared" si="8"/>
        <v>231</v>
      </c>
      <c r="M38" s="18">
        <v>230</v>
      </c>
      <c r="N38" s="18"/>
      <c r="O38" s="18">
        <f t="shared" si="10"/>
        <v>230</v>
      </c>
      <c r="P38" s="18">
        <f t="shared" si="11"/>
        <v>1</v>
      </c>
      <c r="Q38" s="18">
        <v>1</v>
      </c>
      <c r="R38" s="18"/>
      <c r="S38" s="18"/>
      <c r="T38" s="21">
        <f t="shared" si="6"/>
        <v>0</v>
      </c>
      <c r="U38" s="88">
        <f t="shared" si="7"/>
        <v>0</v>
      </c>
      <c r="V38" s="18">
        <v>49</v>
      </c>
      <c r="W38" s="37" t="s">
        <v>92</v>
      </c>
      <c r="X38" s="18" t="s">
        <v>46</v>
      </c>
      <c r="Y38" s="69" t="s">
        <v>97</v>
      </c>
      <c r="Z38" s="29"/>
    </row>
    <row r="39" spans="1:28" ht="12.75">
      <c r="A39" s="6" t="s">
        <v>42</v>
      </c>
      <c r="B39" s="18"/>
      <c r="C39" s="18"/>
      <c r="D39" s="18">
        <v>16</v>
      </c>
      <c r="E39" s="18"/>
      <c r="F39" s="18"/>
      <c r="G39" s="18"/>
      <c r="H39" s="18"/>
      <c r="I39" s="18"/>
      <c r="J39" s="7">
        <f t="shared" si="9"/>
        <v>528</v>
      </c>
      <c r="K39" s="7">
        <v>40</v>
      </c>
      <c r="L39" s="7">
        <f t="shared" si="8"/>
        <v>739</v>
      </c>
      <c r="M39" s="18">
        <v>740</v>
      </c>
      <c r="N39" s="18"/>
      <c r="O39" s="18">
        <f t="shared" si="10"/>
        <v>740</v>
      </c>
      <c r="P39" s="18">
        <f t="shared" si="11"/>
        <v>-1</v>
      </c>
      <c r="Q39" s="18">
        <v>1</v>
      </c>
      <c r="R39" s="18"/>
      <c r="S39" s="18"/>
      <c r="T39" s="21">
        <f t="shared" si="6"/>
        <v>0</v>
      </c>
      <c r="U39" s="88">
        <f t="shared" si="7"/>
        <v>0</v>
      </c>
      <c r="V39" s="18">
        <v>88</v>
      </c>
      <c r="W39" s="37" t="s">
        <v>92</v>
      </c>
      <c r="X39" s="18" t="s">
        <v>46</v>
      </c>
      <c r="Y39" s="21" t="s">
        <v>97</v>
      </c>
      <c r="Z39" s="29"/>
      <c r="AA39"/>
      <c r="AB39"/>
    </row>
    <row r="40" spans="1:28" ht="12.75">
      <c r="A40" s="6" t="s">
        <v>27</v>
      </c>
      <c r="B40" s="18">
        <v>6</v>
      </c>
      <c r="C40" s="18"/>
      <c r="D40" s="18">
        <v>1</v>
      </c>
      <c r="E40" s="18"/>
      <c r="F40" s="18"/>
      <c r="G40" s="18"/>
      <c r="H40" s="18"/>
      <c r="I40" s="18"/>
      <c r="J40" s="7">
        <f t="shared" si="9"/>
        <v>135</v>
      </c>
      <c r="K40" s="7">
        <v>40</v>
      </c>
      <c r="L40" s="7">
        <f t="shared" si="8"/>
        <v>189</v>
      </c>
      <c r="M40" s="18">
        <v>190</v>
      </c>
      <c r="N40" s="18"/>
      <c r="O40" s="18">
        <f t="shared" si="10"/>
        <v>190</v>
      </c>
      <c r="P40" s="18">
        <f t="shared" si="11"/>
        <v>-1</v>
      </c>
      <c r="Q40" s="18" t="s">
        <v>61</v>
      </c>
      <c r="R40" s="18"/>
      <c r="S40" s="18"/>
      <c r="T40" s="21">
        <f t="shared" si="6"/>
        <v>0</v>
      </c>
      <c r="U40" s="88">
        <f t="shared" si="7"/>
        <v>0</v>
      </c>
      <c r="V40" s="18" t="s">
        <v>57</v>
      </c>
      <c r="W40" s="37" t="s">
        <v>49</v>
      </c>
      <c r="X40" s="18" t="s">
        <v>46</v>
      </c>
      <c r="Y40" s="21" t="s">
        <v>58</v>
      </c>
      <c r="Z40" s="30"/>
      <c r="AA40"/>
      <c r="AB40"/>
    </row>
    <row r="41" spans="1:28" ht="12.75">
      <c r="A41" s="6" t="s">
        <v>34</v>
      </c>
      <c r="B41" s="18"/>
      <c r="C41" s="18">
        <v>5</v>
      </c>
      <c r="D41" s="18"/>
      <c r="E41" s="18"/>
      <c r="F41" s="18"/>
      <c r="G41" s="18"/>
      <c r="H41" s="18"/>
      <c r="I41" s="18"/>
      <c r="J41" s="7">
        <f t="shared" si="9"/>
        <v>80</v>
      </c>
      <c r="K41" s="7">
        <v>40</v>
      </c>
      <c r="L41" s="7">
        <f t="shared" si="8"/>
        <v>112</v>
      </c>
      <c r="M41" s="18">
        <v>120</v>
      </c>
      <c r="N41" s="18"/>
      <c r="O41" s="18">
        <f t="shared" si="10"/>
        <v>120</v>
      </c>
      <c r="P41" s="18">
        <f t="shared" si="11"/>
        <v>-8</v>
      </c>
      <c r="Q41" s="18" t="s">
        <v>61</v>
      </c>
      <c r="R41" s="18"/>
      <c r="S41" s="18"/>
      <c r="T41" s="21">
        <f t="shared" si="6"/>
        <v>0</v>
      </c>
      <c r="U41" s="88">
        <f t="shared" si="7"/>
        <v>0</v>
      </c>
      <c r="V41" s="18">
        <v>99.5</v>
      </c>
      <c r="W41" s="37" t="s">
        <v>54</v>
      </c>
      <c r="X41" s="18" t="s">
        <v>46</v>
      </c>
      <c r="Y41" s="21" t="s">
        <v>58</v>
      </c>
      <c r="Z41" s="30"/>
      <c r="AA41"/>
      <c r="AB41"/>
    </row>
    <row r="42" spans="1:28" ht="12.75">
      <c r="A42" s="6" t="s">
        <v>28</v>
      </c>
      <c r="B42" s="18">
        <v>4</v>
      </c>
      <c r="C42" s="18">
        <v>13</v>
      </c>
      <c r="D42" s="18"/>
      <c r="E42" s="18"/>
      <c r="F42" s="18"/>
      <c r="G42" s="18"/>
      <c r="H42" s="18"/>
      <c r="I42" s="18"/>
      <c r="J42" s="7">
        <f t="shared" si="9"/>
        <v>276</v>
      </c>
      <c r="K42" s="7">
        <v>40</v>
      </c>
      <c r="L42" s="7">
        <f t="shared" si="8"/>
        <v>386</v>
      </c>
      <c r="M42" s="18">
        <v>390</v>
      </c>
      <c r="N42" s="18"/>
      <c r="O42" s="18">
        <f t="shared" si="10"/>
        <v>390</v>
      </c>
      <c r="P42" s="18">
        <f t="shared" si="11"/>
        <v>-4</v>
      </c>
      <c r="Q42" s="18" t="s">
        <v>61</v>
      </c>
      <c r="R42" s="18"/>
      <c r="S42" s="18"/>
      <c r="T42" s="21">
        <f t="shared" si="6"/>
        <v>0</v>
      </c>
      <c r="U42" s="88">
        <f t="shared" si="7"/>
        <v>0</v>
      </c>
      <c r="V42" s="18">
        <v>16.5</v>
      </c>
      <c r="W42" s="37" t="s">
        <v>54</v>
      </c>
      <c r="X42" s="18" t="s">
        <v>46</v>
      </c>
      <c r="Y42" s="21" t="s">
        <v>58</v>
      </c>
      <c r="Z42" s="30"/>
      <c r="AA42"/>
      <c r="AB42"/>
    </row>
    <row r="43" ht="12.75"/>
    <row r="44" spans="1:21" ht="15">
      <c r="A44" s="92" t="s">
        <v>162</v>
      </c>
      <c r="U44" s="91">
        <f>SUM(U15:U42)</f>
        <v>32.709</v>
      </c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printOptions gridLines="1" horizontalCentered="1" verticalCentered="1"/>
  <pageMargins left="0" right="0" top="0.25" bottom="0.25" header="0" footer="0"/>
  <pageSetup fitToHeight="1" fitToWidth="1" horizontalDpi="600" verticalDpi="600" orientation="landscape" paperSize="9" scale="74" r:id="rId1"/>
  <headerFooter alignWithMargins="0">
    <oddFooter>&amp;CPrepared by Stefano Belforte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9"/>
  <sheetViews>
    <sheetView zoomScale="75" zoomScaleNormal="75" workbookViewId="0" topLeftCell="A1">
      <pane xSplit="3240" topLeftCell="F1" activePane="topRight" state="split"/>
      <selection pane="topLeft" activeCell="A12" sqref="A12:IV12"/>
      <selection pane="topRight" activeCell="M11" sqref="M11"/>
    </sheetView>
  </sheetViews>
  <sheetFormatPr defaultColWidth="9.00390625" defaultRowHeight="12.75"/>
  <cols>
    <col min="1" max="1" width="36.625" style="6" customWidth="1"/>
    <col min="2" max="2" width="6.75390625" style="7" customWidth="1"/>
    <col min="3" max="5" width="4.75390625" style="7" customWidth="1"/>
    <col min="6" max="6" width="5.875" style="7" customWidth="1"/>
    <col min="7" max="9" width="5.75390625" style="7" customWidth="1"/>
    <col min="10" max="12" width="5.75390625" style="6" customWidth="1"/>
    <col min="13" max="14" width="5.75390625" style="7" customWidth="1"/>
    <col min="15" max="17" width="5.75390625" style="6" customWidth="1"/>
    <col min="18" max="18" width="7.625" style="1" customWidth="1"/>
    <col min="19" max="19" width="3.25390625" style="6" customWidth="1"/>
    <col min="20" max="21" width="5.75390625" style="7" customWidth="1"/>
    <col min="22" max="22" width="6.75390625" style="7" customWidth="1"/>
    <col min="23" max="23" width="5.75390625" style="7" customWidth="1"/>
    <col min="24" max="24" width="6.75390625" style="6" customWidth="1"/>
    <col min="25" max="25" width="9.125" style="7" customWidth="1"/>
    <col min="26" max="16384" width="9.125" style="6" customWidth="1"/>
  </cols>
  <sheetData>
    <row r="2" spans="1:19" ht="12.75">
      <c r="A2" s="12" t="s">
        <v>98</v>
      </c>
      <c r="B2" s="10"/>
      <c r="C2" s="16"/>
      <c r="D2" s="16"/>
      <c r="E2" s="16"/>
      <c r="F2" s="16"/>
      <c r="G2" s="10"/>
      <c r="H2" s="10"/>
      <c r="I2" s="10"/>
      <c r="J2" s="16"/>
      <c r="K2" s="16"/>
      <c r="L2" s="16"/>
      <c r="M2" s="15"/>
      <c r="N2" s="15"/>
      <c r="O2" s="15"/>
      <c r="P2" s="15"/>
      <c r="Q2" s="15"/>
      <c r="R2" s="16"/>
      <c r="S2" s="16"/>
    </row>
    <row r="3" spans="1:9" ht="12.75">
      <c r="A3" s="6" t="s">
        <v>1</v>
      </c>
      <c r="C3" s="2" t="str">
        <f>'ic'!C5</f>
        <v>HB</v>
      </c>
      <c r="D3" s="2" t="str">
        <f>'ic'!D5</f>
        <v>AMB</v>
      </c>
      <c r="E3" s="2" t="str">
        <f>'ic'!E5</f>
        <v>MRG</v>
      </c>
      <c r="F3" s="2" t="str">
        <f>'ic'!F5</f>
        <v>SC</v>
      </c>
      <c r="G3" s="2" t="str">
        <f>'ic'!G5</f>
        <v>XTF-A</v>
      </c>
      <c r="H3" s="2" t="str">
        <f>'ic'!H5</f>
        <v>XTF-B</v>
      </c>
      <c r="I3" s="2" t="str">
        <f>'ic'!I5</f>
        <v>XTF-C</v>
      </c>
    </row>
    <row r="4" spans="1:9" ht="12.75">
      <c r="A4" s="6" t="s">
        <v>95</v>
      </c>
      <c r="C4" s="7">
        <f>'ic'!C13</f>
        <v>16</v>
      </c>
      <c r="D4" s="7">
        <f>'ic'!D13</f>
        <v>33</v>
      </c>
      <c r="E4" s="7">
        <f>'ic'!E13</f>
        <v>30</v>
      </c>
      <c r="F4" s="7">
        <f>'ic'!F13</f>
        <v>14</v>
      </c>
      <c r="G4" s="7">
        <f>'ic'!G13</f>
        <v>3</v>
      </c>
      <c r="H4" s="7">
        <f>'ic'!H13</f>
        <v>4</v>
      </c>
      <c r="I4" s="7">
        <f>'ic'!I13</f>
        <v>7</v>
      </c>
    </row>
    <row r="5" spans="1:25" s="1" customFormat="1" ht="39.75" customHeight="1">
      <c r="A5" s="1" t="s">
        <v>13</v>
      </c>
      <c r="B5" s="2" t="s">
        <v>100</v>
      </c>
      <c r="C5" s="93" t="s">
        <v>17</v>
      </c>
      <c r="D5" s="94"/>
      <c r="E5" s="94"/>
      <c r="F5" s="94"/>
      <c r="G5" s="94"/>
      <c r="H5" s="94"/>
      <c r="I5" s="94"/>
      <c r="J5" s="2" t="s">
        <v>15</v>
      </c>
      <c r="K5" s="82" t="s">
        <v>52</v>
      </c>
      <c r="L5" s="71" t="s">
        <v>53</v>
      </c>
      <c r="M5" s="71" t="s">
        <v>24</v>
      </c>
      <c r="N5" s="82" t="s">
        <v>19</v>
      </c>
      <c r="O5" s="28" t="s">
        <v>56</v>
      </c>
      <c r="P5" s="28" t="s">
        <v>119</v>
      </c>
      <c r="Q5" s="28" t="s">
        <v>118</v>
      </c>
      <c r="R5" s="71" t="s">
        <v>14</v>
      </c>
      <c r="S5" s="83" t="s">
        <v>62</v>
      </c>
      <c r="T5" s="83" t="s">
        <v>55</v>
      </c>
      <c r="U5" s="18" t="s">
        <v>43</v>
      </c>
      <c r="V5" s="83" t="s">
        <v>44</v>
      </c>
      <c r="W5" s="18" t="s">
        <v>45</v>
      </c>
      <c r="X5" s="19" t="s">
        <v>47</v>
      </c>
      <c r="Y5" s="71"/>
    </row>
    <row r="6" spans="1:24" ht="12.75">
      <c r="A6" s="6" t="s">
        <v>114</v>
      </c>
      <c r="B6" s="7" t="s">
        <v>101</v>
      </c>
      <c r="C6" s="18">
        <f>'HB'!$B$4</f>
        <v>2</v>
      </c>
      <c r="D6" s="18"/>
      <c r="E6" s="18">
        <f>MRG!$B$4</f>
        <v>6</v>
      </c>
      <c r="F6" s="18"/>
      <c r="G6" s="18">
        <v>3</v>
      </c>
      <c r="H6" s="18">
        <v>6</v>
      </c>
      <c r="I6" s="18">
        <v>4</v>
      </c>
      <c r="J6" s="7">
        <f aca="true" t="shared" si="0" ref="J6:J17">SUMPRODUCT(C6:I6,C$4:I$4)</f>
        <v>273</v>
      </c>
      <c r="K6" s="7">
        <v>30</v>
      </c>
      <c r="L6" s="7">
        <f aca="true" t="shared" si="1" ref="L6:L17">ROUND(J6*(1+K6/100),0)</f>
        <v>355</v>
      </c>
      <c r="M6" s="18">
        <v>200</v>
      </c>
      <c r="N6" s="18">
        <v>2</v>
      </c>
      <c r="O6" s="7">
        <f aca="true" t="shared" si="2" ref="O6:O17">N6*1.2</f>
        <v>2.4</v>
      </c>
      <c r="P6" s="48">
        <f>M6*N6</f>
        <v>400</v>
      </c>
      <c r="Q6" s="48">
        <f>M6*O6</f>
        <v>480</v>
      </c>
      <c r="R6" s="70">
        <f aca="true" t="shared" si="3" ref="R6:R17">M6*O6/1000</f>
        <v>0.48</v>
      </c>
      <c r="S6" s="21">
        <v>1</v>
      </c>
      <c r="T6" s="18" t="s">
        <v>120</v>
      </c>
      <c r="U6" s="18" t="s">
        <v>101</v>
      </c>
      <c r="V6" s="18" t="s">
        <v>85</v>
      </c>
      <c r="W6" s="21" t="s">
        <v>97</v>
      </c>
      <c r="X6" s="75"/>
    </row>
    <row r="7" spans="1:24" ht="12.75">
      <c r="A7" s="6" t="s">
        <v>115</v>
      </c>
      <c r="B7" s="7" t="s">
        <v>107</v>
      </c>
      <c r="C7" s="7">
        <f>'HB'!$B$5</f>
        <v>5</v>
      </c>
      <c r="E7" s="7">
        <f>MRG!$B$5</f>
        <v>8</v>
      </c>
      <c r="F7" s="7">
        <f>SC!$B$4</f>
        <v>6</v>
      </c>
      <c r="G7" s="7">
        <v>5</v>
      </c>
      <c r="H7" s="7">
        <v>6</v>
      </c>
      <c r="I7" s="7">
        <v>5</v>
      </c>
      <c r="J7" s="7">
        <f t="shared" si="0"/>
        <v>478</v>
      </c>
      <c r="K7" s="7">
        <v>30</v>
      </c>
      <c r="L7" s="7">
        <f t="shared" si="1"/>
        <v>621</v>
      </c>
      <c r="M7" s="18">
        <v>440</v>
      </c>
      <c r="N7" s="7">
        <v>1.19</v>
      </c>
      <c r="O7" s="7">
        <f t="shared" si="2"/>
        <v>1.428</v>
      </c>
      <c r="P7" s="48">
        <f aca="true" t="shared" si="4" ref="P7:P17">M7*N7</f>
        <v>523.6</v>
      </c>
      <c r="Q7" s="48">
        <f aca="true" t="shared" si="5" ref="Q7:Q17">M7*O7</f>
        <v>628.3199999999999</v>
      </c>
      <c r="R7" s="70">
        <f t="shared" si="3"/>
        <v>0.62832</v>
      </c>
      <c r="S7" s="21">
        <v>1</v>
      </c>
      <c r="T7" s="7">
        <v>1.19</v>
      </c>
      <c r="U7" s="7" t="s">
        <v>67</v>
      </c>
      <c r="V7" s="7" t="s">
        <v>68</v>
      </c>
      <c r="W7" s="74" t="s">
        <v>97</v>
      </c>
      <c r="X7" s="3" t="s">
        <v>108</v>
      </c>
    </row>
    <row r="8" spans="1:24" ht="12.75" customHeight="1">
      <c r="A8" s="6" t="s">
        <v>66</v>
      </c>
      <c r="B8" s="7" t="s">
        <v>102</v>
      </c>
      <c r="C8" s="18"/>
      <c r="D8" s="7">
        <f>AMB!B4</f>
        <v>4</v>
      </c>
      <c r="G8" s="18"/>
      <c r="H8" s="18"/>
      <c r="I8" s="18"/>
      <c r="J8" s="7">
        <f t="shared" si="0"/>
        <v>132</v>
      </c>
      <c r="K8" s="7">
        <v>30</v>
      </c>
      <c r="L8" s="7">
        <f t="shared" si="1"/>
        <v>172</v>
      </c>
      <c r="M8" s="18">
        <v>200</v>
      </c>
      <c r="N8" s="18">
        <v>8.77</v>
      </c>
      <c r="O8" s="7">
        <f t="shared" si="2"/>
        <v>10.524</v>
      </c>
      <c r="P8" s="48">
        <f t="shared" si="4"/>
        <v>1754</v>
      </c>
      <c r="Q8" s="48">
        <f t="shared" si="5"/>
        <v>2104.7999999999997</v>
      </c>
      <c r="R8" s="70">
        <f t="shared" si="3"/>
        <v>2.1047999999999996</v>
      </c>
      <c r="S8" s="21">
        <v>1</v>
      </c>
      <c r="T8" s="18" t="s">
        <v>60</v>
      </c>
      <c r="U8" s="18" t="s">
        <v>130</v>
      </c>
      <c r="V8" s="18" t="s">
        <v>85</v>
      </c>
      <c r="W8" s="69">
        <v>34880</v>
      </c>
      <c r="X8" s="6" t="s">
        <v>131</v>
      </c>
    </row>
    <row r="9" spans="1:23" ht="12.75">
      <c r="A9" s="6" t="s">
        <v>99</v>
      </c>
      <c r="B9" s="7" t="s">
        <v>60</v>
      </c>
      <c r="C9" s="7">
        <f>'HB'!B6</f>
        <v>1</v>
      </c>
      <c r="J9" s="7">
        <f t="shared" si="0"/>
        <v>16</v>
      </c>
      <c r="K9" s="7">
        <v>30</v>
      </c>
      <c r="L9" s="7">
        <f t="shared" si="1"/>
        <v>21</v>
      </c>
      <c r="M9" s="7">
        <v>20</v>
      </c>
      <c r="N9" s="7">
        <v>3</v>
      </c>
      <c r="O9" s="7">
        <f t="shared" si="2"/>
        <v>3.5999999999999996</v>
      </c>
      <c r="P9" s="48">
        <f t="shared" si="4"/>
        <v>60</v>
      </c>
      <c r="Q9" s="48">
        <f t="shared" si="5"/>
        <v>72</v>
      </c>
      <c r="R9" s="70">
        <f t="shared" si="3"/>
        <v>0.072</v>
      </c>
      <c r="S9" s="21">
        <v>1</v>
      </c>
      <c r="T9" s="7">
        <v>3</v>
      </c>
      <c r="U9" s="7" t="s">
        <v>60</v>
      </c>
      <c r="V9" s="7" t="s">
        <v>77</v>
      </c>
      <c r="W9" s="74" t="s">
        <v>97</v>
      </c>
    </row>
    <row r="10" spans="1:24" ht="12.75">
      <c r="A10" s="6" t="s">
        <v>112</v>
      </c>
      <c r="B10" s="7" t="s">
        <v>101</v>
      </c>
      <c r="C10" s="7">
        <f>'HB'!B7</f>
        <v>2</v>
      </c>
      <c r="D10" s="7">
        <f>AMB!$B$5</f>
        <v>1</v>
      </c>
      <c r="E10" s="7">
        <f>MRG!$B$6</f>
        <v>4</v>
      </c>
      <c r="F10" s="7">
        <f>SC!$B$5</f>
        <v>3</v>
      </c>
      <c r="G10" s="7">
        <v>3</v>
      </c>
      <c r="H10" s="7">
        <v>6</v>
      </c>
      <c r="I10" s="7">
        <v>5</v>
      </c>
      <c r="J10" s="7">
        <f t="shared" si="0"/>
        <v>295</v>
      </c>
      <c r="K10" s="7">
        <v>40</v>
      </c>
      <c r="L10" s="7">
        <f t="shared" si="1"/>
        <v>413</v>
      </c>
      <c r="M10" s="7">
        <v>250</v>
      </c>
      <c r="N10" s="7">
        <v>0.68</v>
      </c>
      <c r="O10" s="7">
        <f t="shared" si="2"/>
        <v>0.8160000000000001</v>
      </c>
      <c r="P10" s="48">
        <f t="shared" si="4"/>
        <v>170</v>
      </c>
      <c r="Q10" s="48">
        <f t="shared" si="5"/>
        <v>204.00000000000003</v>
      </c>
      <c r="R10" s="70">
        <f t="shared" si="3"/>
        <v>0.20400000000000001</v>
      </c>
      <c r="S10" s="21">
        <v>1</v>
      </c>
      <c r="T10" s="7">
        <v>0.68</v>
      </c>
      <c r="U10" s="7" t="s">
        <v>67</v>
      </c>
      <c r="V10" s="7" t="s">
        <v>68</v>
      </c>
      <c r="W10" s="74" t="s">
        <v>97</v>
      </c>
      <c r="X10" s="6" t="s">
        <v>109</v>
      </c>
    </row>
    <row r="11" spans="1:24" ht="12.75">
      <c r="A11" s="6" t="s">
        <v>113</v>
      </c>
      <c r="B11" s="7" t="s">
        <v>101</v>
      </c>
      <c r="C11" s="7">
        <f>'HB'!B8</f>
        <v>2</v>
      </c>
      <c r="E11" s="7">
        <f>MRG!$B$7</f>
        <v>2</v>
      </c>
      <c r="F11" s="7">
        <f>SC!$B$6</f>
        <v>1</v>
      </c>
      <c r="G11" s="7">
        <v>3</v>
      </c>
      <c r="I11" s="7">
        <v>3</v>
      </c>
      <c r="J11" s="7">
        <f t="shared" si="0"/>
        <v>136</v>
      </c>
      <c r="K11" s="7">
        <v>40</v>
      </c>
      <c r="L11" s="7">
        <f t="shared" si="1"/>
        <v>190</v>
      </c>
      <c r="M11" s="7">
        <v>150</v>
      </c>
      <c r="N11" s="7">
        <v>0.5</v>
      </c>
      <c r="O11" s="7">
        <f t="shared" si="2"/>
        <v>0.6</v>
      </c>
      <c r="P11" s="48">
        <f t="shared" si="4"/>
        <v>75</v>
      </c>
      <c r="Q11" s="48">
        <f t="shared" si="5"/>
        <v>90</v>
      </c>
      <c r="R11" s="70">
        <f t="shared" si="3"/>
        <v>0.09</v>
      </c>
      <c r="S11" s="21">
        <v>1</v>
      </c>
      <c r="T11" s="7">
        <v>0.5</v>
      </c>
      <c r="U11" s="7" t="s">
        <v>67</v>
      </c>
      <c r="V11" s="7" t="s">
        <v>68</v>
      </c>
      <c r="W11" s="74" t="s">
        <v>97</v>
      </c>
      <c r="X11" s="6" t="s">
        <v>117</v>
      </c>
    </row>
    <row r="12" spans="1:24" ht="12.75">
      <c r="A12" s="6" t="s">
        <v>111</v>
      </c>
      <c r="B12" s="7" t="s">
        <v>101</v>
      </c>
      <c r="D12" s="7">
        <f>AMB!$B$5</f>
        <v>1</v>
      </c>
      <c r="E12" s="7">
        <f>MRG!B8</f>
        <v>1</v>
      </c>
      <c r="F12" s="7">
        <f>SC!B7</f>
        <v>1</v>
      </c>
      <c r="G12" s="7">
        <v>1</v>
      </c>
      <c r="I12" s="7">
        <v>1</v>
      </c>
      <c r="J12" s="7">
        <f t="shared" si="0"/>
        <v>87</v>
      </c>
      <c r="K12" s="7">
        <v>40</v>
      </c>
      <c r="L12" s="7">
        <f t="shared" si="1"/>
        <v>122</v>
      </c>
      <c r="M12" s="7">
        <v>100</v>
      </c>
      <c r="N12" s="7">
        <v>2.71</v>
      </c>
      <c r="O12" s="7">
        <f t="shared" si="2"/>
        <v>3.252</v>
      </c>
      <c r="P12" s="48">
        <f t="shared" si="4"/>
        <v>271</v>
      </c>
      <c r="Q12" s="48">
        <f t="shared" si="5"/>
        <v>325.2</v>
      </c>
      <c r="R12" s="70">
        <f t="shared" si="3"/>
        <v>0.3252</v>
      </c>
      <c r="S12" s="21">
        <v>1</v>
      </c>
      <c r="T12" s="18">
        <v>2.71</v>
      </c>
      <c r="U12" s="18" t="s">
        <v>67</v>
      </c>
      <c r="V12" s="18" t="s">
        <v>68</v>
      </c>
      <c r="W12" s="42" t="s">
        <v>65</v>
      </c>
      <c r="X12" s="6" t="s">
        <v>110</v>
      </c>
    </row>
    <row r="13" spans="1:23" ht="12.75">
      <c r="A13" s="6" t="s">
        <v>132</v>
      </c>
      <c r="B13" s="7" t="s">
        <v>104</v>
      </c>
      <c r="D13" s="7">
        <f>AMB!$B$6</f>
        <v>1</v>
      </c>
      <c r="E13" s="7">
        <f>MRG!B9</f>
        <v>1</v>
      </c>
      <c r="F13" s="7">
        <f>SC!B8</f>
        <v>1</v>
      </c>
      <c r="G13" s="7">
        <v>1</v>
      </c>
      <c r="I13" s="7">
        <v>1</v>
      </c>
      <c r="J13" s="7">
        <f t="shared" si="0"/>
        <v>87</v>
      </c>
      <c r="K13" s="7">
        <v>40</v>
      </c>
      <c r="L13" s="7">
        <f t="shared" si="1"/>
        <v>122</v>
      </c>
      <c r="M13" s="7">
        <v>100</v>
      </c>
      <c r="N13" s="7">
        <v>5.47</v>
      </c>
      <c r="O13" s="7">
        <f t="shared" si="2"/>
        <v>6.563999999999999</v>
      </c>
      <c r="P13" s="48">
        <f t="shared" si="4"/>
        <v>547</v>
      </c>
      <c r="Q13" s="48">
        <f t="shared" si="5"/>
        <v>656.3999999999999</v>
      </c>
      <c r="R13" s="70">
        <f t="shared" si="3"/>
        <v>0.6563999999999999</v>
      </c>
      <c r="S13" s="21">
        <v>1</v>
      </c>
      <c r="T13" s="7">
        <v>5.47</v>
      </c>
      <c r="U13" s="18" t="s">
        <v>133</v>
      </c>
      <c r="V13" s="18" t="s">
        <v>68</v>
      </c>
      <c r="W13" s="42" t="s">
        <v>65</v>
      </c>
    </row>
    <row r="14" spans="1:23" ht="12.75">
      <c r="A14" s="6" t="s">
        <v>116</v>
      </c>
      <c r="B14" s="7" t="s">
        <v>102</v>
      </c>
      <c r="D14" s="7">
        <f>AMB!$B$6</f>
        <v>1</v>
      </c>
      <c r="J14" s="7">
        <f t="shared" si="0"/>
        <v>33</v>
      </c>
      <c r="K14" s="7">
        <v>40</v>
      </c>
      <c r="L14" s="7">
        <f>ROUND(J14*(1+K14/100),0)</f>
        <v>46</v>
      </c>
      <c r="M14" s="7">
        <v>40</v>
      </c>
      <c r="N14" s="7">
        <v>7.52</v>
      </c>
      <c r="O14" s="7">
        <f t="shared" si="2"/>
        <v>9.024</v>
      </c>
      <c r="P14" s="48">
        <f t="shared" si="4"/>
        <v>300.79999999999995</v>
      </c>
      <c r="Q14" s="48">
        <f t="shared" si="5"/>
        <v>360.96</v>
      </c>
      <c r="R14" s="70">
        <f t="shared" si="3"/>
        <v>0.36096</v>
      </c>
      <c r="S14" s="21">
        <v>1</v>
      </c>
      <c r="T14" s="7">
        <v>7.52</v>
      </c>
      <c r="U14" s="18" t="s">
        <v>67</v>
      </c>
      <c r="V14" s="18" t="s">
        <v>68</v>
      </c>
      <c r="W14" s="42" t="s">
        <v>65</v>
      </c>
    </row>
    <row r="15" spans="1:23" ht="12.75">
      <c r="A15" s="6" t="s">
        <v>83</v>
      </c>
      <c r="B15" s="7" t="s">
        <v>103</v>
      </c>
      <c r="F15" s="7">
        <f>SC!B8</f>
        <v>1</v>
      </c>
      <c r="J15" s="7">
        <f t="shared" si="0"/>
        <v>14</v>
      </c>
      <c r="K15" s="7">
        <v>20</v>
      </c>
      <c r="L15" s="7">
        <f>ROUND(J15*(1+K15/100),0)</f>
        <v>17</v>
      </c>
      <c r="M15" s="7">
        <v>20</v>
      </c>
      <c r="N15" s="7">
        <v>20</v>
      </c>
      <c r="O15" s="7">
        <f t="shared" si="2"/>
        <v>24</v>
      </c>
      <c r="P15" s="48">
        <f>M15*N15</f>
        <v>400</v>
      </c>
      <c r="Q15" s="48">
        <f>M15*O15</f>
        <v>480</v>
      </c>
      <c r="R15" s="70">
        <f>M15*O15/1000</f>
        <v>0.48</v>
      </c>
      <c r="S15" s="21">
        <v>1</v>
      </c>
      <c r="T15" s="7" t="s">
        <v>84</v>
      </c>
      <c r="U15" s="7" t="s">
        <v>88</v>
      </c>
      <c r="V15" s="7" t="s">
        <v>85</v>
      </c>
      <c r="W15" s="76" t="s">
        <v>65</v>
      </c>
    </row>
    <row r="16" spans="1:24" ht="12.75">
      <c r="A16" s="6" t="s">
        <v>125</v>
      </c>
      <c r="B16" s="7" t="s">
        <v>103</v>
      </c>
      <c r="F16" s="7">
        <f>SC!B9</f>
        <v>1</v>
      </c>
      <c r="J16" s="7">
        <f t="shared" si="0"/>
        <v>14</v>
      </c>
      <c r="K16" s="7">
        <v>20</v>
      </c>
      <c r="L16" s="7">
        <f t="shared" si="1"/>
        <v>17</v>
      </c>
      <c r="M16" s="7">
        <v>20</v>
      </c>
      <c r="N16" s="81">
        <v>0.64</v>
      </c>
      <c r="O16" s="7">
        <f t="shared" si="2"/>
        <v>0.768</v>
      </c>
      <c r="P16" s="48">
        <f t="shared" si="4"/>
        <v>12.8</v>
      </c>
      <c r="Q16" s="48">
        <f t="shared" si="5"/>
        <v>15.36</v>
      </c>
      <c r="R16" s="70">
        <f t="shared" si="3"/>
        <v>0.015359999999999999</v>
      </c>
      <c r="S16" s="21">
        <v>1</v>
      </c>
      <c r="T16" s="79">
        <v>0.64</v>
      </c>
      <c r="U16" s="7" t="s">
        <v>67</v>
      </c>
      <c r="V16" s="7" t="s">
        <v>68</v>
      </c>
      <c r="W16" s="76" t="s">
        <v>65</v>
      </c>
      <c r="X16" s="6" t="s">
        <v>126</v>
      </c>
    </row>
    <row r="17" spans="1:23" ht="13.5" thickBot="1">
      <c r="A17" s="6" t="s">
        <v>86</v>
      </c>
      <c r="B17" s="7" t="s">
        <v>60</v>
      </c>
      <c r="F17" s="7">
        <f>SC!B10</f>
        <v>1</v>
      </c>
      <c r="J17" s="7">
        <f t="shared" si="0"/>
        <v>14</v>
      </c>
      <c r="K17" s="7">
        <v>20</v>
      </c>
      <c r="L17" s="7">
        <f t="shared" si="1"/>
        <v>17</v>
      </c>
      <c r="M17" s="7">
        <v>20</v>
      </c>
      <c r="N17" s="7">
        <v>3</v>
      </c>
      <c r="O17" s="7">
        <f t="shared" si="2"/>
        <v>3.5999999999999996</v>
      </c>
      <c r="P17" s="48">
        <f t="shared" si="4"/>
        <v>60</v>
      </c>
      <c r="Q17" s="48">
        <f t="shared" si="5"/>
        <v>72</v>
      </c>
      <c r="R17" s="70">
        <f t="shared" si="3"/>
        <v>0.072</v>
      </c>
      <c r="S17" s="21">
        <v>1</v>
      </c>
      <c r="T17" s="7">
        <v>3</v>
      </c>
      <c r="U17" s="7" t="s">
        <v>60</v>
      </c>
      <c r="V17" s="7" t="s">
        <v>77</v>
      </c>
      <c r="W17" s="74" t="s">
        <v>97</v>
      </c>
    </row>
    <row r="18" spans="1:24" ht="13.5" thickBot="1">
      <c r="A18" s="77" t="s">
        <v>76</v>
      </c>
      <c r="B18" s="78"/>
      <c r="C18" s="77"/>
      <c r="D18" s="77"/>
      <c r="E18" s="77"/>
      <c r="F18" s="77"/>
      <c r="G18" s="77"/>
      <c r="H18" s="77"/>
      <c r="I18" s="77"/>
      <c r="J18" s="77"/>
      <c r="K18" s="77"/>
      <c r="L18" s="73"/>
      <c r="M18" s="78"/>
      <c r="N18" s="77"/>
      <c r="O18" s="78"/>
      <c r="P18" s="78"/>
      <c r="Q18" s="80"/>
      <c r="R18" s="68">
        <f>SUM(R6:R17)</f>
        <v>5.489040000000001</v>
      </c>
      <c r="S18" s="77"/>
      <c r="T18" s="77"/>
      <c r="U18" s="77"/>
      <c r="V18" s="77"/>
      <c r="W18" s="77"/>
      <c r="X18" s="77"/>
    </row>
    <row r="19" spans="16:17" ht="12.75">
      <c r="P19" s="79"/>
      <c r="Q19" s="79"/>
    </row>
  </sheetData>
  <mergeCells count="1">
    <mergeCell ref="C5:I5"/>
  </mergeCells>
  <printOptions gridLines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&amp;CPrepared by Stefano Belforte &amp;D&amp;RPage &amp;P</oddFooter>
  </headerFooter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"/>
  <sheetViews>
    <sheetView workbookViewId="0" topLeftCell="A1">
      <selection activeCell="D6" sqref="D6"/>
    </sheetView>
  </sheetViews>
  <sheetFormatPr defaultColWidth="9.00390625" defaultRowHeight="12.75"/>
  <cols>
    <col min="1" max="1" width="36.625" style="0" customWidth="1"/>
    <col min="2" max="11" width="5.75390625" style="0" customWidth="1"/>
    <col min="12" max="12" width="5.75390625" style="64" customWidth="1"/>
    <col min="13" max="13" width="6.75390625" style="0" customWidth="1"/>
    <col min="14" max="14" width="5.75390625" style="51" customWidth="1"/>
    <col min="15" max="15" width="6.75390625" style="51" customWidth="1"/>
  </cols>
  <sheetData>
    <row r="2" spans="1:12" s="50" customFormat="1" ht="12.75">
      <c r="A2" s="50" t="s">
        <v>105</v>
      </c>
      <c r="B2" s="50" t="s">
        <v>81</v>
      </c>
      <c r="F2" s="53">
        <f>'ic'!C13</f>
        <v>16</v>
      </c>
      <c r="L2" s="52"/>
    </row>
    <row r="3" spans="1:14" s="45" customFormat="1" ht="36" customHeight="1">
      <c r="A3" s="46" t="s">
        <v>13</v>
      </c>
      <c r="B3" s="56" t="s">
        <v>17</v>
      </c>
      <c r="C3" s="57" t="s">
        <v>15</v>
      </c>
      <c r="D3" s="58" t="s">
        <v>52</v>
      </c>
      <c r="E3" s="59" t="s">
        <v>53</v>
      </c>
      <c r="F3" s="59" t="s">
        <v>24</v>
      </c>
      <c r="G3" s="58" t="s">
        <v>19</v>
      </c>
      <c r="H3" s="60" t="s">
        <v>56</v>
      </c>
      <c r="I3" s="59" t="s">
        <v>14</v>
      </c>
      <c r="J3" s="61" t="s">
        <v>62</v>
      </c>
      <c r="K3" s="61" t="s">
        <v>55</v>
      </c>
      <c r="L3" s="62" t="s">
        <v>43</v>
      </c>
      <c r="M3" s="61" t="s">
        <v>75</v>
      </c>
      <c r="N3" s="44" t="s">
        <v>45</v>
      </c>
    </row>
    <row r="4" spans="1:17" s="6" customFormat="1" ht="12.75" customHeight="1">
      <c r="A4" s="6" t="str">
        <f>Small!$A$6</f>
        <v>SN74AS32D quad-OR gate SOIC14 150mil</v>
      </c>
      <c r="B4" s="18">
        <v>2</v>
      </c>
      <c r="C4" s="7">
        <f>B4*$F$2</f>
        <v>32</v>
      </c>
      <c r="D4" s="7">
        <v>20</v>
      </c>
      <c r="E4" s="7">
        <f>ROUND(C4*(1+D4/100),0)</f>
        <v>38</v>
      </c>
      <c r="F4" s="18">
        <v>40</v>
      </c>
      <c r="G4" s="18">
        <f>Small!N6</f>
        <v>2</v>
      </c>
      <c r="H4" s="7">
        <f aca="true" t="shared" si="0" ref="H4:H9">G4*1.2</f>
        <v>2.4</v>
      </c>
      <c r="I4" s="47">
        <f>F4*H4/1000</f>
        <v>0.096</v>
      </c>
      <c r="J4" s="18">
        <f>Small!S6</f>
        <v>1</v>
      </c>
      <c r="K4" s="18" t="str">
        <f>Small!T6</f>
        <v>0.46$</v>
      </c>
      <c r="L4" s="18" t="str">
        <f>Small!U6</f>
        <v>TI</v>
      </c>
      <c r="M4" s="18" t="str">
        <f>Small!V6</f>
        <v>web</v>
      </c>
      <c r="N4" s="42" t="str">
        <f>Small!W6</f>
        <v>11/98</v>
      </c>
      <c r="O4" s="54"/>
      <c r="P4"/>
      <c r="Q4"/>
    </row>
    <row r="5" spans="1:17" s="6" customFormat="1" ht="12.75" customHeight="1">
      <c r="A5" s="6" t="str">
        <f>Small!$A$7</f>
        <v>CD74HCT123M dual monost SOIC16 150mil </v>
      </c>
      <c r="B5" s="18">
        <v>5</v>
      </c>
      <c r="C5" s="7">
        <f>B5*$F$2</f>
        <v>80</v>
      </c>
      <c r="D5" s="7">
        <v>20</v>
      </c>
      <c r="E5" s="7">
        <f>ROUND(C5*(1+D5/100),0)</f>
        <v>96</v>
      </c>
      <c r="F5" s="18">
        <v>100</v>
      </c>
      <c r="G5" s="18">
        <f>Small!N7</f>
        <v>1.19</v>
      </c>
      <c r="H5" s="7">
        <f t="shared" si="0"/>
        <v>1.428</v>
      </c>
      <c r="I5" s="47">
        <f>F5*H5/1000</f>
        <v>0.14279999999999998</v>
      </c>
      <c r="J5" s="18">
        <f>Small!S7</f>
        <v>1</v>
      </c>
      <c r="K5" s="18">
        <f>Small!T7</f>
        <v>1.19</v>
      </c>
      <c r="L5" s="18" t="str">
        <f>Small!U7</f>
        <v>R.S.</v>
      </c>
      <c r="M5" s="18" t="str">
        <f>Small!V7</f>
        <v>catalogo</v>
      </c>
      <c r="N5" s="42" t="str">
        <f>Small!W7</f>
        <v>11/98</v>
      </c>
      <c r="O5" s="54"/>
      <c r="P5"/>
      <c r="Q5"/>
    </row>
    <row r="6" spans="1:17" s="6" customFormat="1" ht="12.75" customHeight="1">
      <c r="A6" s="6" t="str">
        <f>Small!$A$9</f>
        <v>TL7705ACD reset chip SOIC8</v>
      </c>
      <c r="B6" s="18">
        <v>1</v>
      </c>
      <c r="C6" s="7">
        <f>B6*$F$2</f>
        <v>16</v>
      </c>
      <c r="D6" s="7">
        <v>20</v>
      </c>
      <c r="E6" s="7">
        <f>ROUND(C6*(1+D6/100),0)</f>
        <v>19</v>
      </c>
      <c r="F6" s="18">
        <v>20</v>
      </c>
      <c r="G6" s="18">
        <f>Small!$N$9</f>
        <v>3</v>
      </c>
      <c r="H6" s="7">
        <f t="shared" si="0"/>
        <v>3.5999999999999996</v>
      </c>
      <c r="I6" s="47">
        <f>F6*H6/1000</f>
        <v>0.072</v>
      </c>
      <c r="J6" s="18">
        <f>Small!S9</f>
        <v>1</v>
      </c>
      <c r="K6" s="18">
        <f>Small!T9</f>
        <v>3</v>
      </c>
      <c r="L6" s="18" t="str">
        <f>Small!U9</f>
        <v>?</v>
      </c>
      <c r="M6" s="18" t="str">
        <f>Small!V9</f>
        <v>guess</v>
      </c>
      <c r="N6" s="42" t="str">
        <f>Small!W9</f>
        <v>11/98</v>
      </c>
      <c r="O6" s="54"/>
      <c r="P6"/>
      <c r="Q6"/>
    </row>
    <row r="7" spans="1:17" s="6" customFormat="1" ht="12.75" customHeight="1">
      <c r="A7" s="6" t="str">
        <f>Small!A10</f>
        <v>SN74ALS08D quad-AND gate SOIC14 150mil</v>
      </c>
      <c r="B7" s="18">
        <v>2</v>
      </c>
      <c r="C7" s="7">
        <f>B7*$F$2</f>
        <v>32</v>
      </c>
      <c r="D7" s="7">
        <v>20</v>
      </c>
      <c r="E7" s="7">
        <f>ROUND(C7*(1+D7/100),0)</f>
        <v>38</v>
      </c>
      <c r="F7" s="18">
        <v>40</v>
      </c>
      <c r="G7" s="18">
        <f>Small!N10</f>
        <v>0.68</v>
      </c>
      <c r="H7" s="7">
        <f t="shared" si="0"/>
        <v>0.8160000000000001</v>
      </c>
      <c r="I7" s="47">
        <f>F7*H7/1000</f>
        <v>0.03264</v>
      </c>
      <c r="J7" s="18">
        <f>Small!S10</f>
        <v>1</v>
      </c>
      <c r="K7" s="18">
        <f>Small!T10</f>
        <v>0.68</v>
      </c>
      <c r="L7" s="18" t="str">
        <f>Small!U10</f>
        <v>R.S.</v>
      </c>
      <c r="M7" s="18" t="str">
        <f>Small!V10</f>
        <v>catalogo</v>
      </c>
      <c r="N7" s="42" t="str">
        <f>Small!W10</f>
        <v>11/98</v>
      </c>
      <c r="P7"/>
      <c r="Q7"/>
    </row>
    <row r="8" spans="1:17" s="6" customFormat="1" ht="12.75" customHeight="1">
      <c r="A8" s="6" t="str">
        <f>Small!A11</f>
        <v>SN74ALS02D quad-NOR gate SOIC14 150mil</v>
      </c>
      <c r="B8" s="18">
        <v>2</v>
      </c>
      <c r="C8" s="7">
        <f>B8*$F$2</f>
        <v>32</v>
      </c>
      <c r="D8" s="7">
        <v>20</v>
      </c>
      <c r="E8" s="7">
        <f>ROUND(C8*(1+D8/100),0)</f>
        <v>38</v>
      </c>
      <c r="F8" s="18">
        <v>20</v>
      </c>
      <c r="G8" s="18">
        <f>Small!N11</f>
        <v>0.5</v>
      </c>
      <c r="H8" s="7">
        <f t="shared" si="0"/>
        <v>0.6</v>
      </c>
      <c r="I8" s="47">
        <f>F8*H8/1000</f>
        <v>0.012</v>
      </c>
      <c r="J8" s="18">
        <f>Small!S11</f>
        <v>1</v>
      </c>
      <c r="K8" s="18">
        <f>Small!T11</f>
        <v>0.5</v>
      </c>
      <c r="L8" s="18" t="str">
        <f>Small!U11</f>
        <v>R.S.</v>
      </c>
      <c r="M8" s="18" t="str">
        <f>Small!V11</f>
        <v>catalogo</v>
      </c>
      <c r="N8" s="42" t="str">
        <f>Small!W11</f>
        <v>11/98</v>
      </c>
      <c r="P8"/>
      <c r="Q8"/>
    </row>
    <row r="9" spans="1:12" s="55" customFormat="1" ht="13.5" thickBot="1">
      <c r="A9" s="55" t="s">
        <v>74</v>
      </c>
      <c r="G9" s="49">
        <f>SUMPRODUCT(G4:G8,B4:B8)</f>
        <v>15.309999999999999</v>
      </c>
      <c r="H9" s="49">
        <f t="shared" si="0"/>
        <v>18.371999999999996</v>
      </c>
      <c r="I9" s="67"/>
      <c r="L9" s="63"/>
    </row>
    <row r="10" spans="1:12" s="65" customFormat="1" ht="13.5" thickBot="1">
      <c r="A10" s="65" t="s">
        <v>76</v>
      </c>
      <c r="I10" s="68">
        <f>SUM(I4:I8)</f>
        <v>0.35544</v>
      </c>
      <c r="L10" s="66"/>
    </row>
  </sheetData>
  <printOptions gridLines="1"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Footer>&amp;CPrepared by Stefano Belforte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workbookViewId="0" topLeftCell="A1">
      <selection activeCell="G11" sqref="G11"/>
    </sheetView>
  </sheetViews>
  <sheetFormatPr defaultColWidth="9.00390625" defaultRowHeight="12.75"/>
  <cols>
    <col min="1" max="1" width="36.625" style="0" customWidth="1"/>
    <col min="2" max="11" width="5.75390625" style="0" customWidth="1"/>
    <col min="12" max="12" width="5.75390625" style="64" customWidth="1"/>
    <col min="13" max="13" width="6.75390625" style="0" customWidth="1"/>
    <col min="14" max="14" width="5.75390625" style="51" customWidth="1"/>
    <col min="15" max="15" width="6.75390625" style="51" customWidth="1"/>
  </cols>
  <sheetData>
    <row r="2" spans="1:12" s="50" customFormat="1" ht="12.75">
      <c r="A2" s="50" t="s">
        <v>72</v>
      </c>
      <c r="B2" s="50" t="s">
        <v>73</v>
      </c>
      <c r="F2" s="53">
        <f>'ic'!D13</f>
        <v>33</v>
      </c>
      <c r="L2" s="52"/>
    </row>
    <row r="3" spans="1:14" s="45" customFormat="1" ht="36" customHeight="1">
      <c r="A3" s="46" t="s">
        <v>13</v>
      </c>
      <c r="B3" s="56" t="s">
        <v>17</v>
      </c>
      <c r="C3" s="57" t="s">
        <v>15</v>
      </c>
      <c r="D3" s="58" t="s">
        <v>52</v>
      </c>
      <c r="E3" s="59" t="s">
        <v>53</v>
      </c>
      <c r="F3" s="59" t="s">
        <v>24</v>
      </c>
      <c r="G3" s="58" t="s">
        <v>19</v>
      </c>
      <c r="H3" s="60" t="s">
        <v>56</v>
      </c>
      <c r="I3" s="59" t="s">
        <v>14</v>
      </c>
      <c r="J3" s="61" t="s">
        <v>62</v>
      </c>
      <c r="K3" s="61" t="s">
        <v>55</v>
      </c>
      <c r="L3" s="62" t="s">
        <v>43</v>
      </c>
      <c r="M3" s="61" t="s">
        <v>75</v>
      </c>
      <c r="N3" s="44" t="s">
        <v>45</v>
      </c>
    </row>
    <row r="4" spans="1:17" s="6" customFormat="1" ht="12.75" customHeight="1">
      <c r="A4" s="6" t="s">
        <v>66</v>
      </c>
      <c r="B4" s="18">
        <v>4</v>
      </c>
      <c r="C4" s="7">
        <f aca="true" t="shared" si="0" ref="C4:C9">B4*$F$2</f>
        <v>132</v>
      </c>
      <c r="D4" s="7">
        <v>20</v>
      </c>
      <c r="E4" s="7">
        <f aca="true" t="shared" si="1" ref="E4:E9">ROUND(C4*(1+D4/100),0)</f>
        <v>158</v>
      </c>
      <c r="F4" s="18">
        <v>200</v>
      </c>
      <c r="G4" s="18">
        <f>Small!N8</f>
        <v>8.77</v>
      </c>
      <c r="H4" s="7">
        <f aca="true" t="shared" si="2" ref="H4:H10">G4*1.2</f>
        <v>10.524</v>
      </c>
      <c r="I4" s="47">
        <f aca="true" t="shared" si="3" ref="I4:I9">F4*H4/1000</f>
        <v>2.1047999999999996</v>
      </c>
      <c r="J4" s="18">
        <f>Small!S8</f>
        <v>1</v>
      </c>
      <c r="K4" s="18" t="str">
        <f>Small!T8</f>
        <v>?</v>
      </c>
      <c r="L4" s="18" t="str">
        <f>Small!U8</f>
        <v>Arrow</v>
      </c>
      <c r="M4" s="18" t="str">
        <f>Small!V8</f>
        <v>web</v>
      </c>
      <c r="N4" s="18">
        <f>Small!W8</f>
        <v>34880</v>
      </c>
      <c r="O4" s="54"/>
      <c r="P4"/>
      <c r="Q4"/>
    </row>
    <row r="5" spans="1:17" s="6" customFormat="1" ht="12.75" customHeight="1">
      <c r="A5" s="6" t="s">
        <v>71</v>
      </c>
      <c r="B5" s="18">
        <v>1</v>
      </c>
      <c r="C5" s="7">
        <f>B5*$F$2</f>
        <v>33</v>
      </c>
      <c r="D5" s="7">
        <v>20</v>
      </c>
      <c r="E5" s="7">
        <f>ROUND(C5*(1+D5/100),0)</f>
        <v>40</v>
      </c>
      <c r="F5" s="18">
        <v>40</v>
      </c>
      <c r="G5" s="18">
        <f>Small!N12</f>
        <v>2.71</v>
      </c>
      <c r="H5" s="7">
        <f>G5*1.2</f>
        <v>3.252</v>
      </c>
      <c r="I5" s="47">
        <f>F5*H5/1000</f>
        <v>0.13007999999999997</v>
      </c>
      <c r="J5" s="18">
        <f>Small!S12</f>
        <v>1</v>
      </c>
      <c r="K5" s="18">
        <f>Small!T12</f>
        <v>2.71</v>
      </c>
      <c r="L5" s="18" t="str">
        <f>Small!U12</f>
        <v>R.S.</v>
      </c>
      <c r="M5" s="18" t="str">
        <f>Small!V12</f>
        <v>catalogo</v>
      </c>
      <c r="N5" s="42" t="str">
        <f>Small!W12</f>
        <v>9/98</v>
      </c>
      <c r="O5" s="54"/>
      <c r="P5"/>
      <c r="Q5"/>
    </row>
    <row r="6" spans="1:17" s="6" customFormat="1" ht="12.75" customHeight="1">
      <c r="A6" s="6" t="s">
        <v>70</v>
      </c>
      <c r="B6" s="18">
        <v>1</v>
      </c>
      <c r="C6" s="7">
        <f t="shared" si="0"/>
        <v>33</v>
      </c>
      <c r="D6" s="7">
        <v>20</v>
      </c>
      <c r="E6" s="7">
        <f t="shared" si="1"/>
        <v>40</v>
      </c>
      <c r="F6" s="18">
        <v>40</v>
      </c>
      <c r="G6" s="18">
        <f>Small!N13</f>
        <v>5.47</v>
      </c>
      <c r="H6" s="7">
        <f t="shared" si="2"/>
        <v>6.563999999999999</v>
      </c>
      <c r="I6" s="47">
        <f t="shared" si="3"/>
        <v>0.26255999999999996</v>
      </c>
      <c r="J6" s="18">
        <f>Small!S13</f>
        <v>1</v>
      </c>
      <c r="K6" s="18">
        <f>Small!T13</f>
        <v>5.47</v>
      </c>
      <c r="L6" s="18" t="str">
        <f>Small!U13</f>
        <v>AVNET</v>
      </c>
      <c r="M6" s="18" t="str">
        <f>Small!V13</f>
        <v>catalogo</v>
      </c>
      <c r="N6" s="42" t="str">
        <f>Small!W13</f>
        <v>9/98</v>
      </c>
      <c r="O6" s="54"/>
      <c r="P6"/>
      <c r="Q6"/>
    </row>
    <row r="7" spans="1:17" s="6" customFormat="1" ht="12.75" customHeight="1">
      <c r="A7" s="6" t="s">
        <v>69</v>
      </c>
      <c r="B7" s="18">
        <v>1</v>
      </c>
      <c r="C7" s="7">
        <f t="shared" si="0"/>
        <v>33</v>
      </c>
      <c r="D7" s="7">
        <v>20</v>
      </c>
      <c r="E7" s="7">
        <f t="shared" si="1"/>
        <v>40</v>
      </c>
      <c r="F7" s="18">
        <v>40</v>
      </c>
      <c r="G7" s="18">
        <f>Small!$N$14</f>
        <v>7.52</v>
      </c>
      <c r="H7" s="7">
        <f t="shared" si="2"/>
        <v>9.024</v>
      </c>
      <c r="I7" s="47">
        <f t="shared" si="3"/>
        <v>0.36096</v>
      </c>
      <c r="J7" s="18">
        <f>Small!S14</f>
        <v>1</v>
      </c>
      <c r="K7" s="18">
        <f>Small!T14</f>
        <v>7.52</v>
      </c>
      <c r="L7" s="18" t="str">
        <f>Small!U14</f>
        <v>R.S.</v>
      </c>
      <c r="M7" s="18" t="str">
        <f>Small!V14</f>
        <v>catalogo</v>
      </c>
      <c r="N7" s="42" t="str">
        <f>Small!W14</f>
        <v>9/98</v>
      </c>
      <c r="O7" s="54"/>
      <c r="P7"/>
      <c r="Q7"/>
    </row>
    <row r="8" spans="1:17" s="6" customFormat="1" ht="12.75" customHeight="1">
      <c r="A8" s="6" t="s">
        <v>79</v>
      </c>
      <c r="B8" s="18">
        <v>1</v>
      </c>
      <c r="C8" s="7">
        <f t="shared" si="0"/>
        <v>33</v>
      </c>
      <c r="D8" s="7">
        <v>20</v>
      </c>
      <c r="E8" s="7">
        <f>ROUND(C8*(1+D8/100),0)</f>
        <v>40</v>
      </c>
      <c r="F8" s="18">
        <v>40</v>
      </c>
      <c r="G8" s="18">
        <f>Small!$N$10</f>
        <v>0.68</v>
      </c>
      <c r="H8" s="7">
        <f t="shared" si="2"/>
        <v>0.8160000000000001</v>
      </c>
      <c r="I8" s="47">
        <f>F8*H8/1000</f>
        <v>0.03264</v>
      </c>
      <c r="J8" s="18">
        <f>Small!S9</f>
        <v>1</v>
      </c>
      <c r="K8" s="18">
        <f>Small!T9</f>
        <v>3</v>
      </c>
      <c r="L8" s="18" t="str">
        <f>Small!U9</f>
        <v>?</v>
      </c>
      <c r="M8" s="18" t="str">
        <f>Small!V9</f>
        <v>guess</v>
      </c>
      <c r="N8" s="42" t="str">
        <f>Small!W9</f>
        <v>11/98</v>
      </c>
      <c r="P8"/>
      <c r="Q8"/>
    </row>
    <row r="9" spans="1:17" s="6" customFormat="1" ht="12.75" customHeight="1">
      <c r="A9" s="6" t="s">
        <v>124</v>
      </c>
      <c r="B9" s="18">
        <v>1</v>
      </c>
      <c r="C9" s="7">
        <f t="shared" si="0"/>
        <v>33</v>
      </c>
      <c r="D9" s="7">
        <v>20</v>
      </c>
      <c r="E9" s="7">
        <f t="shared" si="1"/>
        <v>40</v>
      </c>
      <c r="F9" s="18">
        <v>50</v>
      </c>
      <c r="G9" s="18">
        <f>Small!$N$16</f>
        <v>0.64</v>
      </c>
      <c r="H9" s="7">
        <f t="shared" si="2"/>
        <v>0.768</v>
      </c>
      <c r="I9" s="47">
        <f t="shared" si="3"/>
        <v>0.0384</v>
      </c>
      <c r="J9" s="18">
        <f>Small!S10</f>
        <v>1</v>
      </c>
      <c r="K9" s="18">
        <f>Small!T16</f>
        <v>0.64</v>
      </c>
      <c r="L9" s="18" t="str">
        <f>Small!U10</f>
        <v>R.S.</v>
      </c>
      <c r="M9" s="18" t="s">
        <v>77</v>
      </c>
      <c r="N9" s="42" t="str">
        <f>Small!W10</f>
        <v>11/98</v>
      </c>
      <c r="P9"/>
      <c r="Q9"/>
    </row>
    <row r="10" spans="1:12" s="55" customFormat="1" ht="13.5" thickBot="1">
      <c r="A10" s="55" t="s">
        <v>74</v>
      </c>
      <c r="G10" s="49">
        <f>SUMPRODUCT(G4:G9,B4:B9)</f>
        <v>52.1</v>
      </c>
      <c r="H10" s="49">
        <f t="shared" si="2"/>
        <v>62.519999999999996</v>
      </c>
      <c r="I10" s="67"/>
      <c r="L10" s="63"/>
    </row>
    <row r="11" spans="1:12" s="65" customFormat="1" ht="13.5" thickBot="1">
      <c r="A11" s="65" t="s">
        <v>76</v>
      </c>
      <c r="I11" s="68">
        <f>SUM(I4:I9)</f>
        <v>2.9294399999999996</v>
      </c>
      <c r="L11" s="66"/>
    </row>
  </sheetData>
  <printOptions gridLines="1"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Footer>&amp;CPrepared by Stefano Belforte 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A9" sqref="A9"/>
    </sheetView>
  </sheetViews>
  <sheetFormatPr defaultColWidth="9.00390625" defaultRowHeight="12.75"/>
  <cols>
    <col min="1" max="1" width="41.375" style="0" customWidth="1"/>
    <col min="2" max="12" width="5.75390625" style="0" customWidth="1"/>
    <col min="13" max="13" width="6.75390625" style="0" customWidth="1"/>
    <col min="14" max="14" width="5.75390625" style="0" customWidth="1"/>
  </cols>
  <sheetData>
    <row r="1" spans="12:14" ht="12.75">
      <c r="L1" s="64"/>
      <c r="N1" s="51"/>
    </row>
    <row r="2" spans="1:14" ht="12.75">
      <c r="A2" s="50" t="s">
        <v>82</v>
      </c>
      <c r="B2" s="50" t="s">
        <v>80</v>
      </c>
      <c r="C2" s="50"/>
      <c r="D2" s="50"/>
      <c r="E2" s="50"/>
      <c r="F2" s="53">
        <f>'ic'!F13</f>
        <v>14</v>
      </c>
      <c r="G2" s="50"/>
      <c r="H2" s="50"/>
      <c r="I2" s="50"/>
      <c r="J2" s="50"/>
      <c r="K2" s="50"/>
      <c r="L2" s="52"/>
      <c r="M2" s="50"/>
      <c r="N2" s="50"/>
    </row>
    <row r="3" spans="1:14" ht="63.75">
      <c r="A3" s="46" t="s">
        <v>13</v>
      </c>
      <c r="B3" s="56" t="s">
        <v>17</v>
      </c>
      <c r="C3" s="57" t="s">
        <v>15</v>
      </c>
      <c r="D3" s="58" t="s">
        <v>52</v>
      </c>
      <c r="E3" s="59" t="s">
        <v>53</v>
      </c>
      <c r="F3" s="59" t="s">
        <v>24</v>
      </c>
      <c r="G3" s="58" t="s">
        <v>19</v>
      </c>
      <c r="H3" s="60" t="s">
        <v>56</v>
      </c>
      <c r="I3" s="59" t="s">
        <v>14</v>
      </c>
      <c r="J3" s="61" t="s">
        <v>62</v>
      </c>
      <c r="K3" s="61" t="s">
        <v>55</v>
      </c>
      <c r="L3" s="62" t="s">
        <v>43</v>
      </c>
      <c r="M3" s="61" t="s">
        <v>75</v>
      </c>
      <c r="N3" s="44" t="s">
        <v>45</v>
      </c>
    </row>
    <row r="4" spans="1:14" ht="12.75">
      <c r="A4" s="6" t="str">
        <f>Small!$A$7</f>
        <v>CD74HCT123M dual monost SOIC16 150mil </v>
      </c>
      <c r="B4" s="18">
        <v>6</v>
      </c>
      <c r="C4" s="7">
        <f aca="true" t="shared" si="0" ref="C4:C10">B4*$F$2</f>
        <v>84</v>
      </c>
      <c r="D4" s="7">
        <v>20</v>
      </c>
      <c r="E4" s="7">
        <f aca="true" t="shared" si="1" ref="E4:E10">ROUND(C4*(1+D4/100),0)</f>
        <v>101</v>
      </c>
      <c r="F4" s="18">
        <v>100</v>
      </c>
      <c r="G4" s="18">
        <f>Small!$N$7</f>
        <v>1.19</v>
      </c>
      <c r="H4" s="7">
        <f aca="true" t="shared" si="2" ref="H4:H11">G4*1.2</f>
        <v>1.428</v>
      </c>
      <c r="I4" s="47">
        <f aca="true" t="shared" si="3" ref="I4:I10">F4*H4/1000</f>
        <v>0.14279999999999998</v>
      </c>
      <c r="J4" s="18">
        <f>Small!S7</f>
        <v>1</v>
      </c>
      <c r="K4" s="18">
        <f>Small!T7</f>
        <v>1.19</v>
      </c>
      <c r="L4" s="18" t="str">
        <f>Small!U7</f>
        <v>R.S.</v>
      </c>
      <c r="M4" s="18" t="str">
        <f>Small!V7</f>
        <v>catalogo</v>
      </c>
      <c r="N4" s="42" t="str">
        <f>Small!W7</f>
        <v>11/98</v>
      </c>
    </row>
    <row r="5" spans="1:14" ht="12.75">
      <c r="A5" s="6" t="str">
        <f>Small!$A$10</f>
        <v>SN74ALS08D quad-AND gate SOIC14 150mil</v>
      </c>
      <c r="B5" s="18">
        <v>3</v>
      </c>
      <c r="C5" s="7">
        <f>B5*$F$2</f>
        <v>42</v>
      </c>
      <c r="D5" s="7">
        <v>20</v>
      </c>
      <c r="E5" s="7">
        <f>ROUND(C5*(1+D5/100),0)</f>
        <v>50</v>
      </c>
      <c r="F5" s="18">
        <v>50</v>
      </c>
      <c r="G5" s="18">
        <f>Small!$N$10</f>
        <v>0.68</v>
      </c>
      <c r="H5" s="7">
        <f>G5*1.2</f>
        <v>0.8160000000000001</v>
      </c>
      <c r="I5" s="47">
        <f>F5*H5/1000</f>
        <v>0.0408</v>
      </c>
      <c r="J5" s="18">
        <f>Small!S10</f>
        <v>1</v>
      </c>
      <c r="K5" s="18">
        <f>Small!T10</f>
        <v>0.68</v>
      </c>
      <c r="L5" s="18" t="str">
        <f>Small!U10</f>
        <v>R.S.</v>
      </c>
      <c r="M5" s="18" t="str">
        <f>Small!V10</f>
        <v>catalogo</v>
      </c>
      <c r="N5" s="42" t="str">
        <f>Small!W10</f>
        <v>11/98</v>
      </c>
    </row>
    <row r="6" spans="1:14" ht="12.75">
      <c r="A6" s="6" t="str">
        <f>Small!$A$11</f>
        <v>SN74ALS02D quad-NOR gate SOIC14 150mil</v>
      </c>
      <c r="B6" s="18">
        <v>1</v>
      </c>
      <c r="C6" s="7">
        <f>B6*$F$2</f>
        <v>14</v>
      </c>
      <c r="D6" s="7">
        <v>20</v>
      </c>
      <c r="E6" s="7">
        <f>ROUND(C6*(1+D6/100),0)</f>
        <v>17</v>
      </c>
      <c r="F6" s="18">
        <v>20</v>
      </c>
      <c r="G6" s="18">
        <f>Small!$N$11</f>
        <v>0.5</v>
      </c>
      <c r="H6" s="7">
        <f>G6*1.2</f>
        <v>0.6</v>
      </c>
      <c r="I6" s="47">
        <f>F6*H6/1000</f>
        <v>0.012</v>
      </c>
      <c r="J6" s="18">
        <f>Small!S11</f>
        <v>1</v>
      </c>
      <c r="K6" s="18">
        <f>Small!T11</f>
        <v>0.5</v>
      </c>
      <c r="L6" s="18" t="str">
        <f>Small!U11</f>
        <v>R.S.</v>
      </c>
      <c r="M6" s="18" t="str">
        <f>Small!V11</f>
        <v>catalogo</v>
      </c>
      <c r="N6" s="42" t="str">
        <f>Small!W11</f>
        <v>11/98</v>
      </c>
    </row>
    <row r="7" spans="1:17" s="6" customFormat="1" ht="12.75" customHeight="1">
      <c r="A7" s="6" t="str">
        <f>Small!A12</f>
        <v>SN74ALS540DW 8-bit inverter SOIC16 300mil</v>
      </c>
      <c r="B7" s="18">
        <v>1</v>
      </c>
      <c r="C7" s="7">
        <f t="shared" si="0"/>
        <v>14</v>
      </c>
      <c r="D7" s="7">
        <v>20</v>
      </c>
      <c r="E7" s="7">
        <f t="shared" si="1"/>
        <v>17</v>
      </c>
      <c r="F7" s="18">
        <v>20</v>
      </c>
      <c r="G7" s="18">
        <f>Small!$N$12</f>
        <v>2.71</v>
      </c>
      <c r="H7" s="7">
        <f t="shared" si="2"/>
        <v>3.252</v>
      </c>
      <c r="I7" s="47">
        <f t="shared" si="3"/>
        <v>0.06503999999999999</v>
      </c>
      <c r="J7" s="18">
        <f>Small!S12</f>
        <v>1</v>
      </c>
      <c r="K7" s="18">
        <f>Small!T12</f>
        <v>2.71</v>
      </c>
      <c r="L7" s="18" t="str">
        <f>Small!U12</f>
        <v>R.S.</v>
      </c>
      <c r="M7" s="18" t="str">
        <f>Small!V12</f>
        <v>catalogo</v>
      </c>
      <c r="N7" s="42" t="str">
        <f>Small!W12</f>
        <v>9/98</v>
      </c>
      <c r="O7" s="54"/>
      <c r="P7"/>
      <c r="Q7"/>
    </row>
    <row r="8" spans="1:17" s="6" customFormat="1" ht="12.75" customHeight="1">
      <c r="A8" s="6" t="str">
        <f>Small!A13</f>
        <v>IDT74FCT521ATSO 8-bit comparator SOIC20 300mil</v>
      </c>
      <c r="B8" s="18">
        <v>1</v>
      </c>
      <c r="C8" s="7">
        <f t="shared" si="0"/>
        <v>14</v>
      </c>
      <c r="D8" s="7">
        <v>20</v>
      </c>
      <c r="E8" s="7">
        <f t="shared" si="1"/>
        <v>17</v>
      </c>
      <c r="F8" s="18">
        <v>20</v>
      </c>
      <c r="G8" s="18">
        <f>Small!$N$13</f>
        <v>5.47</v>
      </c>
      <c r="H8" s="7">
        <f t="shared" si="2"/>
        <v>6.563999999999999</v>
      </c>
      <c r="I8" s="47">
        <f t="shared" si="3"/>
        <v>0.13127999999999998</v>
      </c>
      <c r="J8" s="18">
        <f>Small!S13</f>
        <v>1</v>
      </c>
      <c r="K8" s="18">
        <f>Small!T13</f>
        <v>5.47</v>
      </c>
      <c r="L8" s="18" t="str">
        <f>Small!U13</f>
        <v>AVNET</v>
      </c>
      <c r="M8" s="18" t="str">
        <f>Small!V13</f>
        <v>catalogo</v>
      </c>
      <c r="N8" s="42" t="str">
        <f>Small!W13</f>
        <v>9/98</v>
      </c>
      <c r="O8" s="54"/>
      <c r="P8"/>
      <c r="Q8"/>
    </row>
    <row r="9" spans="1:14" ht="12.75">
      <c r="A9" s="6" t="s">
        <v>83</v>
      </c>
      <c r="B9" s="18">
        <v>1</v>
      </c>
      <c r="C9" s="7">
        <f t="shared" si="0"/>
        <v>14</v>
      </c>
      <c r="D9" s="7">
        <v>20</v>
      </c>
      <c r="E9" s="7">
        <f t="shared" si="1"/>
        <v>17</v>
      </c>
      <c r="F9" s="18">
        <v>20</v>
      </c>
      <c r="G9" s="18">
        <f>Small!$N$16</f>
        <v>0.64</v>
      </c>
      <c r="H9" s="7">
        <f t="shared" si="2"/>
        <v>0.768</v>
      </c>
      <c r="I9" s="47">
        <f t="shared" si="3"/>
        <v>0.015359999999999999</v>
      </c>
      <c r="J9" s="18">
        <f>Small!S16</f>
        <v>1</v>
      </c>
      <c r="K9" s="18">
        <f>Small!T16</f>
        <v>0.64</v>
      </c>
      <c r="L9" s="18" t="str">
        <f>Small!U16</f>
        <v>R.S.</v>
      </c>
      <c r="M9" s="18" t="str">
        <f>Small!V16</f>
        <v>catalogo</v>
      </c>
      <c r="N9" s="42" t="str">
        <f>Small!W16</f>
        <v>9/98</v>
      </c>
    </row>
    <row r="10" spans="1:14" ht="12.75">
      <c r="A10" s="6" t="s">
        <v>86</v>
      </c>
      <c r="B10" s="18">
        <v>1</v>
      </c>
      <c r="C10" s="7">
        <f t="shared" si="0"/>
        <v>14</v>
      </c>
      <c r="D10" s="7">
        <v>20</v>
      </c>
      <c r="E10" s="7">
        <f t="shared" si="1"/>
        <v>17</v>
      </c>
      <c r="F10" s="18">
        <v>20</v>
      </c>
      <c r="G10" s="18">
        <f>Small!$N$17</f>
        <v>3</v>
      </c>
      <c r="H10" s="7">
        <f t="shared" si="2"/>
        <v>3.5999999999999996</v>
      </c>
      <c r="I10" s="47">
        <f t="shared" si="3"/>
        <v>0.072</v>
      </c>
      <c r="J10" s="18">
        <f>Small!S17</f>
        <v>1</v>
      </c>
      <c r="K10" s="18">
        <f>Small!T17</f>
        <v>3</v>
      </c>
      <c r="L10" s="18" t="str">
        <f>Small!U17</f>
        <v>?</v>
      </c>
      <c r="M10" s="18" t="str">
        <f>Small!V17</f>
        <v>guess</v>
      </c>
      <c r="N10" s="42" t="str">
        <f>Small!W17</f>
        <v>11/98</v>
      </c>
    </row>
    <row r="11" spans="1:14" ht="13.5" thickBot="1">
      <c r="A11" s="55" t="s">
        <v>74</v>
      </c>
      <c r="B11" s="55"/>
      <c r="C11" s="55"/>
      <c r="D11" s="55"/>
      <c r="E11" s="55"/>
      <c r="F11" s="55"/>
      <c r="G11" s="72">
        <f>SUMPRODUCT(G4:G10,B4:B10)</f>
        <v>21.5</v>
      </c>
      <c r="H11" s="72">
        <f t="shared" si="2"/>
        <v>25.8</v>
      </c>
      <c r="I11" s="67"/>
      <c r="J11" s="55"/>
      <c r="K11" s="55"/>
      <c r="L11" s="63"/>
      <c r="M11" s="55"/>
      <c r="N11" s="55"/>
    </row>
    <row r="12" spans="1:14" ht="13.5" thickBot="1">
      <c r="A12" s="65" t="s">
        <v>76</v>
      </c>
      <c r="B12" s="65"/>
      <c r="C12" s="65"/>
      <c r="D12" s="65"/>
      <c r="E12" s="65"/>
      <c r="F12" s="65"/>
      <c r="G12" s="65"/>
      <c r="H12" s="65"/>
      <c r="I12" s="68">
        <f>SUM(I4:I10)</f>
        <v>0.47927999999999993</v>
      </c>
      <c r="J12" s="65"/>
      <c r="K12" s="65"/>
      <c r="L12" s="66"/>
      <c r="M12" s="65"/>
      <c r="N12" s="65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&amp;CPrepared by Stefano Belforte 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F4" sqref="F4"/>
    </sheetView>
  </sheetViews>
  <sheetFormatPr defaultColWidth="9.00390625" defaultRowHeight="12.75"/>
  <cols>
    <col min="1" max="1" width="41.375" style="0" customWidth="1"/>
    <col min="2" max="12" width="5.75390625" style="0" customWidth="1"/>
    <col min="13" max="13" width="6.75390625" style="0" customWidth="1"/>
    <col min="14" max="14" width="5.75390625" style="0" customWidth="1"/>
  </cols>
  <sheetData>
    <row r="1" spans="12:14" ht="12.75">
      <c r="L1" s="64"/>
      <c r="N1" s="51"/>
    </row>
    <row r="2" spans="1:14" ht="12.75">
      <c r="A2" s="50" t="s">
        <v>106</v>
      </c>
      <c r="B2" s="50" t="s">
        <v>94</v>
      </c>
      <c r="C2" s="50"/>
      <c r="D2" s="50"/>
      <c r="E2" s="50"/>
      <c r="F2" s="53">
        <f>'ic'!E13</f>
        <v>30</v>
      </c>
      <c r="G2" s="50"/>
      <c r="H2" s="50"/>
      <c r="I2" s="50"/>
      <c r="J2" s="50"/>
      <c r="K2" s="50"/>
      <c r="L2" s="52"/>
      <c r="M2" s="50"/>
      <c r="N2" s="50"/>
    </row>
    <row r="3" spans="1:14" ht="63.75">
      <c r="A3" s="46" t="s">
        <v>13</v>
      </c>
      <c r="B3" s="56" t="s">
        <v>17</v>
      </c>
      <c r="C3" s="57" t="s">
        <v>15</v>
      </c>
      <c r="D3" s="58" t="s">
        <v>52</v>
      </c>
      <c r="E3" s="59" t="s">
        <v>53</v>
      </c>
      <c r="F3" s="59" t="s">
        <v>24</v>
      </c>
      <c r="G3" s="58" t="s">
        <v>19</v>
      </c>
      <c r="H3" s="60" t="s">
        <v>56</v>
      </c>
      <c r="I3" s="59" t="s">
        <v>14</v>
      </c>
      <c r="J3" s="61" t="s">
        <v>62</v>
      </c>
      <c r="K3" s="61" t="s">
        <v>55</v>
      </c>
      <c r="L3" s="62" t="s">
        <v>43</v>
      </c>
      <c r="M3" s="61" t="s">
        <v>75</v>
      </c>
      <c r="N3" s="44" t="s">
        <v>45</v>
      </c>
    </row>
    <row r="4" spans="1:17" s="6" customFormat="1" ht="12.75" customHeight="1">
      <c r="A4" s="6" t="str">
        <f>Small!A6</f>
        <v>SN74AS32D quad-OR gate SOIC14 150mil</v>
      </c>
      <c r="B4" s="18">
        <v>6</v>
      </c>
      <c r="C4" s="7">
        <f aca="true" t="shared" si="0" ref="C4:C9">B4*$F$2</f>
        <v>180</v>
      </c>
      <c r="D4" s="7">
        <v>20</v>
      </c>
      <c r="E4" s="7">
        <f aca="true" t="shared" si="1" ref="E4:E9">ROUND(C4*(1+D4/100),0)</f>
        <v>216</v>
      </c>
      <c r="F4" s="18">
        <v>150</v>
      </c>
      <c r="G4" s="18">
        <f>Small!$N$6</f>
        <v>2</v>
      </c>
      <c r="H4" s="7">
        <f aca="true" t="shared" si="2" ref="H4:H10">G4*1.2</f>
        <v>2.4</v>
      </c>
      <c r="I4" s="47">
        <f aca="true" t="shared" si="3" ref="I4:I9">F4*H4/1000</f>
        <v>0.36</v>
      </c>
      <c r="J4" s="18">
        <f>Small!S6</f>
        <v>1</v>
      </c>
      <c r="K4" s="18" t="str">
        <f>Small!T6</f>
        <v>0.46$</v>
      </c>
      <c r="L4" s="18" t="str">
        <f>Small!U6</f>
        <v>TI</v>
      </c>
      <c r="M4" s="18" t="str">
        <f>Small!V6</f>
        <v>web</v>
      </c>
      <c r="N4" s="42" t="str">
        <f>Small!W6</f>
        <v>11/98</v>
      </c>
      <c r="O4" s="54"/>
      <c r="P4"/>
      <c r="Q4"/>
    </row>
    <row r="5" spans="1:14" ht="12.75">
      <c r="A5" s="6" t="str">
        <f>Small!A7</f>
        <v>CD74HCT123M dual monost SOIC16 150mil </v>
      </c>
      <c r="B5" s="18">
        <v>8</v>
      </c>
      <c r="C5" s="7">
        <f t="shared" si="0"/>
        <v>240</v>
      </c>
      <c r="D5" s="7">
        <v>20</v>
      </c>
      <c r="E5" s="7">
        <f t="shared" si="1"/>
        <v>288</v>
      </c>
      <c r="F5" s="18">
        <v>200</v>
      </c>
      <c r="G5" s="18">
        <f>Small!$N$7</f>
        <v>1.19</v>
      </c>
      <c r="H5" s="7">
        <f t="shared" si="2"/>
        <v>1.428</v>
      </c>
      <c r="I5" s="47">
        <f t="shared" si="3"/>
        <v>0.28559999999999997</v>
      </c>
      <c r="J5" s="18">
        <f>Small!S7</f>
        <v>1</v>
      </c>
      <c r="K5" s="18">
        <f>Small!T7</f>
        <v>1.19</v>
      </c>
      <c r="L5" s="18" t="str">
        <f>Small!U7</f>
        <v>R.S.</v>
      </c>
      <c r="M5" s="18" t="str">
        <f>Small!V7</f>
        <v>catalogo</v>
      </c>
      <c r="N5" s="42" t="str">
        <f>Small!W7</f>
        <v>11/98</v>
      </c>
    </row>
    <row r="6" spans="1:14" ht="12.75">
      <c r="A6" s="6" t="str">
        <f>Small!A10</f>
        <v>SN74ALS08D quad-AND gate SOIC14 150mil</v>
      </c>
      <c r="B6" s="18">
        <v>4</v>
      </c>
      <c r="C6" s="7">
        <f>B6*$F$2</f>
        <v>120</v>
      </c>
      <c r="D6" s="7">
        <v>20</v>
      </c>
      <c r="E6" s="7">
        <f>ROUND(C6*(1+D6/100),0)</f>
        <v>144</v>
      </c>
      <c r="F6" s="18">
        <v>110</v>
      </c>
      <c r="G6" s="18">
        <f>Small!$N$10</f>
        <v>0.68</v>
      </c>
      <c r="H6" s="7">
        <f>G6*1.2</f>
        <v>0.8160000000000001</v>
      </c>
      <c r="I6" s="47">
        <f>F6*H6/1000</f>
        <v>0.08976</v>
      </c>
      <c r="J6" s="18">
        <f>Small!S10</f>
        <v>1</v>
      </c>
      <c r="K6" s="18">
        <f>Small!T10</f>
        <v>0.68</v>
      </c>
      <c r="L6" s="18" t="str">
        <f>Small!U10</f>
        <v>R.S.</v>
      </c>
      <c r="M6" s="18" t="str">
        <f>Small!V10</f>
        <v>catalogo</v>
      </c>
      <c r="N6" s="42" t="str">
        <f>Small!W10</f>
        <v>11/98</v>
      </c>
    </row>
    <row r="7" spans="1:14" ht="12.75">
      <c r="A7" s="6" t="str">
        <f>Small!A11</f>
        <v>SN74ALS02D quad-NOR gate SOIC14 150mil</v>
      </c>
      <c r="B7" s="18">
        <v>2</v>
      </c>
      <c r="C7" s="7">
        <f>B7*$F$2</f>
        <v>60</v>
      </c>
      <c r="D7" s="7">
        <v>20</v>
      </c>
      <c r="E7" s="7">
        <f>ROUND(C7*(1+D7/100),0)</f>
        <v>72</v>
      </c>
      <c r="F7" s="18">
        <v>80</v>
      </c>
      <c r="G7" s="18">
        <f>Small!$N$11</f>
        <v>0.5</v>
      </c>
      <c r="H7" s="7">
        <f>G7*1.2</f>
        <v>0.6</v>
      </c>
      <c r="I7" s="47">
        <f>F7*H7/1000</f>
        <v>0.048</v>
      </c>
      <c r="J7" s="18">
        <f>Small!S11</f>
        <v>1</v>
      </c>
      <c r="K7" s="18">
        <f>Small!T11</f>
        <v>0.5</v>
      </c>
      <c r="L7" s="18" t="str">
        <f>Small!U11</f>
        <v>R.S.</v>
      </c>
      <c r="M7" s="18" t="str">
        <f>Small!V11</f>
        <v>catalogo</v>
      </c>
      <c r="N7" s="42" t="str">
        <f>Small!W11</f>
        <v>11/98</v>
      </c>
    </row>
    <row r="8" spans="1:17" s="6" customFormat="1" ht="12.75" customHeight="1">
      <c r="A8" s="6" t="str">
        <f>Small!A12</f>
        <v>SN74ALS540DW 8-bit inverter SOIC16 300mil</v>
      </c>
      <c r="B8" s="18">
        <v>1</v>
      </c>
      <c r="C8" s="7">
        <f t="shared" si="0"/>
        <v>30</v>
      </c>
      <c r="D8" s="7">
        <v>20</v>
      </c>
      <c r="E8" s="7">
        <f t="shared" si="1"/>
        <v>36</v>
      </c>
      <c r="F8" s="18">
        <v>40</v>
      </c>
      <c r="G8" s="18">
        <f>Small!N12</f>
        <v>2.71</v>
      </c>
      <c r="H8" s="7">
        <f t="shared" si="2"/>
        <v>3.252</v>
      </c>
      <c r="I8" s="47">
        <f t="shared" si="3"/>
        <v>0.13007999999999997</v>
      </c>
      <c r="J8" s="18">
        <f>Small!S12</f>
        <v>1</v>
      </c>
      <c r="K8" s="18">
        <f>Small!T12</f>
        <v>2.71</v>
      </c>
      <c r="L8" s="18" t="str">
        <f>Small!U12</f>
        <v>R.S.</v>
      </c>
      <c r="M8" s="18" t="str">
        <f>Small!V12</f>
        <v>catalogo</v>
      </c>
      <c r="N8" s="42" t="str">
        <f>Small!W12</f>
        <v>9/98</v>
      </c>
      <c r="O8" s="54"/>
      <c r="P8"/>
      <c r="Q8"/>
    </row>
    <row r="9" spans="1:17" s="6" customFormat="1" ht="12.75" customHeight="1">
      <c r="A9" s="6" t="str">
        <f>Small!A13</f>
        <v>IDT74FCT521ATSO 8-bit comparator SOIC20 300mil</v>
      </c>
      <c r="B9" s="18">
        <v>1</v>
      </c>
      <c r="C9" s="7">
        <f t="shared" si="0"/>
        <v>30</v>
      </c>
      <c r="D9" s="7">
        <v>20</v>
      </c>
      <c r="E9" s="7">
        <f t="shared" si="1"/>
        <v>36</v>
      </c>
      <c r="F9" s="18">
        <v>40</v>
      </c>
      <c r="G9" s="18">
        <f>Small!N13</f>
        <v>5.47</v>
      </c>
      <c r="H9" s="7">
        <f t="shared" si="2"/>
        <v>6.563999999999999</v>
      </c>
      <c r="I9" s="47">
        <f t="shared" si="3"/>
        <v>0.26255999999999996</v>
      </c>
      <c r="J9" s="18">
        <f>Small!S13</f>
        <v>1</v>
      </c>
      <c r="K9" s="18">
        <f>Small!T13</f>
        <v>5.47</v>
      </c>
      <c r="L9" s="18" t="str">
        <f>Small!U13</f>
        <v>AVNET</v>
      </c>
      <c r="M9" s="18" t="str">
        <f>Small!V13</f>
        <v>catalogo</v>
      </c>
      <c r="N9" s="42" t="str">
        <f>Small!W13</f>
        <v>9/98</v>
      </c>
      <c r="O9" s="54"/>
      <c r="P9"/>
      <c r="Q9"/>
    </row>
    <row r="10" spans="1:14" ht="13.5" thickBot="1">
      <c r="A10" s="55" t="s">
        <v>74</v>
      </c>
      <c r="B10" s="55"/>
      <c r="C10" s="55"/>
      <c r="D10" s="55"/>
      <c r="E10" s="55"/>
      <c r="F10" s="55"/>
      <c r="G10" s="49">
        <f>SUMPRODUCT(G4:G6,B4:B6)</f>
        <v>24.24</v>
      </c>
      <c r="H10" s="49">
        <f t="shared" si="2"/>
        <v>29.087999999999997</v>
      </c>
      <c r="I10" s="67"/>
      <c r="J10" s="55"/>
      <c r="K10" s="55"/>
      <c r="L10" s="63"/>
      <c r="M10" s="55"/>
      <c r="N10" s="55"/>
    </row>
    <row r="11" spans="1:14" ht="13.5" thickBot="1">
      <c r="A11" s="65" t="s">
        <v>76</v>
      </c>
      <c r="B11" s="65"/>
      <c r="C11" s="65"/>
      <c r="D11" s="65"/>
      <c r="E11" s="65"/>
      <c r="F11" s="65"/>
      <c r="G11" s="65"/>
      <c r="H11" s="65"/>
      <c r="I11" s="68">
        <f>SUM(I4:I6)</f>
        <v>0.73536</v>
      </c>
      <c r="J11" s="65"/>
      <c r="K11" s="65"/>
      <c r="L11" s="66"/>
      <c r="M11" s="65"/>
      <c r="N11" s="65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&amp;CPrepared by Stefano Belforte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Zanetti</cp:lastModifiedBy>
  <cp:lastPrinted>2000-02-04T11:07:14Z</cp:lastPrinted>
  <dcterms:created xsi:type="dcterms:W3CDTF">1998-03-04T22:06:45Z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