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65521" windowWidth="17235" windowHeight="10185" activeTab="0"/>
  </bookViews>
  <sheets>
    <sheet name="ic" sheetId="1" r:id="rId1"/>
    <sheet name="Small" sheetId="2" r:id="rId2"/>
    <sheet name="HB" sheetId="3" r:id="rId3"/>
    <sheet name="AMB" sheetId="4" r:id="rId4"/>
    <sheet name="SC" sheetId="5" r:id="rId5"/>
    <sheet name="MRG" sheetId="6" r:id="rId6"/>
  </sheets>
  <definedNames>
    <definedName name="HTML_CodePage" hidden="1">1252</definedName>
    <definedName name="HTML_Control" hidden="1">{"'ic'!$A$1:$R$44"}</definedName>
    <definedName name="HTML_Description" hidden="1">"Board &amp; Chip count for SVT production. Only most abundant/expensive components are indicated"</definedName>
    <definedName name="HTML_Email" hidden="1">"stefano.belforte@pi.infn.it"</definedName>
    <definedName name="HTML_Header" hidden="1">"ic"</definedName>
    <definedName name="HTML_LastUpdate" hidden="1">"4/24/98"</definedName>
    <definedName name="HTML_LineAfter" hidden="1">TRUE</definedName>
    <definedName name="HTML_LineBefore" hidden="1">TRUE</definedName>
    <definedName name="HTML_Name" hidden="1">"Stefano Belforte"</definedName>
    <definedName name="HTML_OBDlg2" hidden="1">TRUE</definedName>
    <definedName name="HTML_OBDlg4" hidden="1">TRUE</definedName>
    <definedName name="HTML_OS" hidden="1">0</definedName>
    <definedName name="HTML_PathFile" hidden="1">"C:\belforte\svt\ic.html"</definedName>
    <definedName name="HTML_Title" hidden="1">"ic"</definedName>
    <definedName name="_xlnm.Print_Area" localSheetId="0">'ic'!$A$1:$AP$51</definedName>
  </definedNames>
  <calcPr fullCalcOnLoad="1"/>
</workbook>
</file>

<file path=xl/sharedStrings.xml><?xml version="1.0" encoding="utf-8"?>
<sst xmlns="http://schemas.openxmlformats.org/spreadsheetml/2006/main" count="312" uniqueCount="159">
  <si>
    <t>board name</t>
  </si>
  <si>
    <t># in SVT</t>
  </si>
  <si>
    <t>total needed</t>
  </si>
  <si>
    <t>total to be built</t>
  </si>
  <si>
    <t>board acronym</t>
  </si>
  <si>
    <t>IC part name</t>
  </si>
  <si>
    <t>total
cost
Mlit</t>
  </si>
  <si>
    <t>#total</t>
  </si>
  <si>
    <t># used in each board</t>
  </si>
  <si>
    <t>unit cost
Klit</t>
  </si>
  <si>
    <t>KM681002B-10 : 32-SOJ-400 128kx8 ram</t>
  </si>
  <si>
    <t>CY7C4245-10JC 4kx18 fifo</t>
  </si>
  <si>
    <t>total
to buy</t>
  </si>
  <si>
    <t>KEL 8830E-052-170LH right angle plug</t>
  </si>
  <si>
    <t>SN74ABTE16245DL 16-bit tranceiver</t>
  </si>
  <si>
    <t>XTRP fanout</t>
  </si>
  <si>
    <t>DS90C031TM  LVDS driver</t>
  </si>
  <si>
    <t>DS90C032TM  LVDS receiver</t>
  </si>
  <si>
    <t>cost per board per unit (Mlit)</t>
  </si>
  <si>
    <t>total component cost</t>
  </si>
  <si>
    <t># for  boards production/repair in Italy</t>
  </si>
  <si>
    <t>spares (&gt;= 15%) (to be kept in B0)</t>
  </si>
  <si>
    <t>CY7C4245-10AC 4kx18 fifo</t>
  </si>
  <si>
    <t>SN74ABTE16246DL 11-bit OC tranceiver</t>
  </si>
  <si>
    <t>vendor</t>
  </si>
  <si>
    <t>contac
via</t>
  </si>
  <si>
    <t>when</t>
  </si>
  <si>
    <t>offerta</t>
  </si>
  <si>
    <t>note</t>
  </si>
  <si>
    <t>2/98</t>
  </si>
  <si>
    <t>spare
%</t>
  </si>
  <si>
    <t>total + spare</t>
  </si>
  <si>
    <t>vendor
quote
Klit</t>
  </si>
  <si>
    <t>+ VAT (20% I 6.2% CH)</t>
  </si>
  <si>
    <t>Vistel</t>
  </si>
  <si>
    <t>?</t>
  </si>
  <si>
    <t>total all boards cost</t>
  </si>
  <si>
    <t>pcb fabrication (all boards)</t>
  </si>
  <si>
    <t>min
ord</t>
  </si>
  <si>
    <t>9/98</t>
  </si>
  <si>
    <t>QS74FCT2x245ATQ2 2x8-bit trans.</t>
  </si>
  <si>
    <t>R.S.</t>
  </si>
  <si>
    <t>catalogo</t>
  </si>
  <si>
    <t>QS74FCT257AT clock mux SMT</t>
  </si>
  <si>
    <t>QS74FCT521ATQ 8-bit comparator SMT</t>
  </si>
  <si>
    <t>SN74ALS540DW 8-bit inverter SMT</t>
  </si>
  <si>
    <r>
      <t xml:space="preserve">Miscellaneus Small Parts for </t>
    </r>
    <r>
      <rPr>
        <b/>
        <sz val="10"/>
        <rFont val="Geneva"/>
        <family val="0"/>
      </rPr>
      <t>AMBOARD</t>
    </r>
  </si>
  <si>
    <t># AMBoards to build:</t>
  </si>
  <si>
    <t>total cost one board</t>
  </si>
  <si>
    <t>contact
via</t>
  </si>
  <si>
    <t>total cost all parts including spares</t>
  </si>
  <si>
    <t>guess</t>
  </si>
  <si>
    <t>H74AC08M quad-AND gate SMT</t>
  </si>
  <si>
    <t># SC boards to build:</t>
  </si>
  <si>
    <t># HB boards to build:</t>
  </si>
  <si>
    <t>Miscellaneus Small Parts for SPY CONTROL</t>
  </si>
  <si>
    <t>MC10H350P ECL-TTL receiver</t>
  </si>
  <si>
    <t>10$</t>
  </si>
  <si>
    <t>web</t>
  </si>
  <si>
    <t>MAX701 reset chip</t>
  </si>
  <si>
    <t>motor</t>
  </si>
  <si>
    <t>Pinnacle</t>
  </si>
  <si>
    <t>CY7B992-5JC / QS5992-5JRI robo/turboCLK</t>
  </si>
  <si>
    <t>CY7B9920-5SC / QS59920-5SO jr.</t>
  </si>
  <si>
    <t># MRG boards to build:</t>
  </si>
  <si>
    <t>MERGER miscellaneus small parts</t>
  </si>
  <si>
    <t>board #</t>
  </si>
  <si>
    <t>10/98</t>
  </si>
  <si>
    <t>n.d.</t>
  </si>
  <si>
    <t>11/98</t>
  </si>
  <si>
    <t>Miscellaneus Small Parts Summary</t>
  </si>
  <si>
    <t>TL7705ACD reset chip SOIC8</t>
  </si>
  <si>
    <t>XTF miscellaneus small parts</t>
  </si>
  <si>
    <t>manuf</t>
  </si>
  <si>
    <t>TI</t>
  </si>
  <si>
    <t>QS</t>
  </si>
  <si>
    <t>Motorola</t>
  </si>
  <si>
    <t>IDT</t>
  </si>
  <si>
    <r>
      <t xml:space="preserve">Miscellaneus Small Parts for </t>
    </r>
    <r>
      <rPr>
        <b/>
        <sz val="10"/>
        <rFont val="Geneva"/>
        <family val="0"/>
      </rPr>
      <t>HIT BUFFER</t>
    </r>
  </si>
  <si>
    <r>
      <t xml:space="preserve">Miscellaneus Small Parts for </t>
    </r>
    <r>
      <rPr>
        <b/>
        <sz val="10"/>
        <rFont val="Geneva"/>
        <family val="0"/>
      </rPr>
      <t>MERGER</t>
    </r>
  </si>
  <si>
    <t>Harris</t>
  </si>
  <si>
    <t>R.S.#833-670</t>
  </si>
  <si>
    <t>R.S.#857-301</t>
  </si>
  <si>
    <t>R.S.#857-604</t>
  </si>
  <si>
    <t>SN74ALS540DW 8-bit inverter SOIC16 300mil</t>
  </si>
  <si>
    <t>SN74ALS08D quad-AND gate SOIC14 150mil</t>
  </si>
  <si>
    <t>SN74ALS02D quad-NOR gate SOIC14 150mil</t>
  </si>
  <si>
    <t>SN74AS32D quad-OR gate SOIC14 150mil</t>
  </si>
  <si>
    <t xml:space="preserve">CD74HCT123M dual monost SOIC16 150mil </t>
  </si>
  <si>
    <t>QS74FCT257ATQ clock mux QSOP</t>
  </si>
  <si>
    <t>R.S.#857-272</t>
  </si>
  <si>
    <t>total +IVA Klit</t>
  </si>
  <si>
    <t>total impon Klit</t>
  </si>
  <si>
    <t>0.46$</t>
  </si>
  <si>
    <t>XTF-A</t>
  </si>
  <si>
    <t>AM27C512-55 64Kx8  EPROM</t>
  </si>
  <si>
    <t>XTF-C</t>
  </si>
  <si>
    <t xml:space="preserve">MC74HCT14AD </t>
  </si>
  <si>
    <t>MC74HCT14AD hex inverter</t>
  </si>
  <si>
    <t>R.S.#258-0479</t>
  </si>
  <si>
    <t>XTF-B</t>
  </si>
  <si>
    <t>XTRP receiver</t>
  </si>
  <si>
    <t>Arrow</t>
  </si>
  <si>
    <t>bouhgt@fnal</t>
  </si>
  <si>
    <t>IDT74FCT521ATSO 8-bit comparator SOIC20 300mil</t>
  </si>
  <si>
    <t>AVNET</t>
  </si>
  <si>
    <t>??</t>
  </si>
  <si>
    <t>ALTEPF10K20RC240-3</t>
  </si>
  <si>
    <t>EPC2LC20</t>
  </si>
  <si>
    <t>Wyle</t>
  </si>
  <si>
    <t>9/99</t>
  </si>
  <si>
    <t>+ IVA (20%)</t>
  </si>
  <si>
    <t>6layer pcb fabrication (each)</t>
  </si>
  <si>
    <t>grand total XTF-A/B/C =</t>
  </si>
  <si>
    <t>Silverstar</t>
  </si>
  <si>
    <t>7/99</t>
  </si>
  <si>
    <t>12/99</t>
  </si>
  <si>
    <t>KEL</t>
  </si>
  <si>
    <t>board assembly  (each)</t>
  </si>
  <si>
    <t>KM6161002B-10 : 44-SOJ 64kx16 ram</t>
  </si>
  <si>
    <t>EPM7512AEQC208-7 Altera PLD</t>
  </si>
  <si>
    <t>TS</t>
  </si>
  <si>
    <t>CERN</t>
  </si>
  <si>
    <t>160$</t>
  </si>
  <si>
    <t>252$</t>
  </si>
  <si>
    <t>2/00</t>
  </si>
  <si>
    <t>50$ now !</t>
  </si>
  <si>
    <t>160$ last time</t>
  </si>
  <si>
    <t>55$ now</t>
  </si>
  <si>
    <t>bought!</t>
  </si>
  <si>
    <t>6~10$ now</t>
  </si>
  <si>
    <t>same $ now</t>
  </si>
  <si>
    <t>NRE pcb: artwork &amp; test setup</t>
  </si>
  <si>
    <t>NRE assembly: solder stencil &amp; mount setup</t>
  </si>
  <si>
    <t>28$ now</t>
  </si>
  <si>
    <t>17$ now</t>
  </si>
  <si>
    <t>5$ now</t>
  </si>
  <si>
    <t>6$ now</t>
  </si>
  <si>
    <t>9$ now</t>
  </si>
  <si>
    <t>33$ now</t>
  </si>
  <si>
    <t>101$ now</t>
  </si>
  <si>
    <t>number of spare pcb's</t>
  </si>
  <si>
    <t>sum=</t>
  </si>
  <si>
    <t>CY7C1049-20VC: 512kx8 ram</t>
  </si>
  <si>
    <t>number of prototype pcb's</t>
  </si>
  <si>
    <t>BOARD AND CHIP COUNT for Layer 00 addition to SVT. Feb 3, 2000.</t>
  </si>
  <si>
    <t>board assembly  (all boards)</t>
  </si>
  <si>
    <t>total cost pcb + assembly</t>
  </si>
  <si>
    <t>cost per board per unit including 30% spares</t>
  </si>
  <si>
    <t>component cost per all boards (Mlit)</t>
  </si>
  <si>
    <t>total XTF A/B = "baseline"</t>
  </si>
  <si>
    <t>total for adding Layer00 "XTF-C"</t>
  </si>
  <si>
    <t>pcb fabrication (all boards) + IVA</t>
  </si>
  <si>
    <t>board assembly  (all boards) + IVA</t>
  </si>
  <si>
    <t>all prices in Mlit</t>
  </si>
  <si>
    <r>
      <t xml:space="preserve">plain figures are total project cost, </t>
    </r>
    <r>
      <rPr>
        <b/>
        <sz val="10"/>
        <rFont val="Times New Roman"/>
        <family val="1"/>
      </rPr>
      <t xml:space="preserve">bold </t>
    </r>
    <r>
      <rPr>
        <sz val="10"/>
        <rFont val="Times New Roman"/>
        <family val="1"/>
      </rPr>
      <t>is what is really needed taking into account orders placed in 1999</t>
    </r>
  </si>
  <si>
    <t># prototypes</t>
  </si>
  <si>
    <t>reuse
merger</t>
  </si>
  <si>
    <t>only for 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</si>
</sst>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0.0"/>
    <numFmt numFmtId="173" formatCode="0.000"/>
  </numFmts>
  <fonts count="2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8"/>
      <name val="Geneva"/>
      <family val="0"/>
    </font>
    <font>
      <b/>
      <sz val="12"/>
      <name val="Geneva"/>
      <family val="0"/>
    </font>
    <font>
      <b/>
      <sz val="11"/>
      <name val="Times New Roman"/>
      <family val="1"/>
    </font>
    <font>
      <b/>
      <sz val="11"/>
      <name val="Geneva"/>
      <family val="0"/>
    </font>
    <font>
      <sz val="12"/>
      <name val="Times New Roman"/>
      <family val="1"/>
    </font>
    <font>
      <sz val="12"/>
      <name val="Geneva"/>
      <family val="0"/>
    </font>
    <font>
      <b/>
      <sz val="10"/>
      <color indexed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 quotePrefix="1">
      <alignment horizontal="center"/>
      <protection locked="0"/>
    </xf>
    <xf numFmtId="0" fontId="0" fillId="0" borderId="1" xfId="0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applyProtection="1" quotePrefix="1">
      <alignment horizontal="center"/>
      <protection locked="0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 quotePrefix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172" fontId="4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72" fontId="4" fillId="0" borderId="2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2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172" fontId="4" fillId="0" borderId="4" xfId="0" applyNumberFormat="1" applyFont="1" applyBorder="1" applyAlignment="1">
      <alignment horizontal="center"/>
    </xf>
    <xf numFmtId="172" fontId="11" fillId="0" borderId="5" xfId="0" applyNumberFormat="1" applyFont="1" applyBorder="1" applyAlignment="1">
      <alignment horizontal="center"/>
    </xf>
    <xf numFmtId="172" fontId="6" fillId="0" borderId="0" xfId="0" applyNumberFormat="1" applyFont="1" applyAlignment="1" applyProtection="1">
      <alignment horizontal="center"/>
      <protection locked="0"/>
    </xf>
    <xf numFmtId="17" fontId="6" fillId="0" borderId="0" xfId="0" applyNumberFormat="1" applyFont="1" applyAlignment="1" applyProtection="1" quotePrefix="1">
      <alignment horizontal="center"/>
      <protection locked="0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1" fontId="4" fillId="0" borderId="2" xfId="0" applyNumberFormat="1" applyFont="1" applyBorder="1" applyAlignment="1">
      <alignment horizontal="center"/>
    </xf>
    <xf numFmtId="172" fontId="11" fillId="0" borderId="3" xfId="0" applyNumberFormat="1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172" fontId="6" fillId="0" borderId="0" xfId="0" applyNumberFormat="1" applyFont="1" applyAlignment="1">
      <alignment/>
    </xf>
    <xf numFmtId="0" fontId="11" fillId="0" borderId="0" xfId="0" applyFont="1" applyFill="1" applyAlignment="1" applyProtection="1">
      <alignment horizontal="left"/>
      <protection locked="0"/>
    </xf>
    <xf numFmtId="17" fontId="6" fillId="0" borderId="0" xfId="0" applyNumberFormat="1" applyFont="1" applyAlignment="1" quotePrefix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4" fillId="0" borderId="2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6" fillId="0" borderId="0" xfId="0" applyFont="1" applyFill="1" applyAlignment="1" applyProtection="1">
      <alignment horizontal="left"/>
      <protection locked="0"/>
    </xf>
    <xf numFmtId="1" fontId="6" fillId="0" borderId="8" xfId="0" applyNumberFormat="1" applyFont="1" applyBorder="1" applyAlignment="1">
      <alignment horizontal="center"/>
    </xf>
    <xf numFmtId="172" fontId="4" fillId="0" borderId="1" xfId="0" applyNumberFormat="1" applyFont="1" applyBorder="1" applyAlignment="1" applyProtection="1">
      <alignment horizontal="center"/>
      <protection locked="0"/>
    </xf>
    <xf numFmtId="0" fontId="6" fillId="0" borderId="9" xfId="0" applyFont="1" applyBorder="1" applyAlignment="1">
      <alignment/>
    </xf>
    <xf numFmtId="1" fontId="18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17" fillId="0" borderId="10" xfId="0" applyNumberFormat="1" applyFont="1" applyBorder="1" applyAlignment="1">
      <alignment horizontal="center"/>
    </xf>
    <xf numFmtId="172" fontId="14" fillId="0" borderId="2" xfId="0" applyNumberFormat="1" applyFont="1" applyBorder="1" applyAlignment="1">
      <alignment horizontal="center"/>
    </xf>
    <xf numFmtId="172" fontId="19" fillId="0" borderId="2" xfId="0" applyNumberFormat="1" applyFont="1" applyBorder="1" applyAlignment="1">
      <alignment horizontal="center"/>
    </xf>
    <xf numFmtId="172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/>
    </xf>
    <xf numFmtId="172" fontId="6" fillId="0" borderId="1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 wrapText="1"/>
    </xf>
    <xf numFmtId="0" fontId="6" fillId="0" borderId="0" xfId="0" applyFont="1" applyFill="1" applyBorder="1" applyAlignment="1">
      <alignment/>
    </xf>
    <xf numFmtId="172" fontId="6" fillId="0" borderId="0" xfId="0" applyNumberFormat="1" applyFont="1" applyBorder="1" applyAlignment="1">
      <alignment/>
    </xf>
    <xf numFmtId="0" fontId="14" fillId="0" borderId="4" xfId="0" applyFont="1" applyBorder="1" applyAlignment="1">
      <alignment/>
    </xf>
    <xf numFmtId="172" fontId="19" fillId="0" borderId="4" xfId="0" applyNumberFormat="1" applyFont="1" applyBorder="1" applyAlignment="1">
      <alignment horizontal="center"/>
    </xf>
    <xf numFmtId="172" fontId="14" fillId="0" borderId="4" xfId="0" applyNumberFormat="1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A50"/>
  <sheetViews>
    <sheetView tabSelected="1" view="pageBreakPreview" zoomScale="60" zoomScaleNormal="75" workbookViewId="0" topLeftCell="A1">
      <selection activeCell="AP18" sqref="AP18"/>
    </sheetView>
  </sheetViews>
  <sheetFormatPr defaultColWidth="9.00390625" defaultRowHeight="12.75"/>
  <cols>
    <col min="1" max="1" width="37.00390625" style="6" customWidth="1"/>
    <col min="2" max="2" width="6.75390625" style="7" customWidth="1"/>
    <col min="3" max="3" width="6.75390625" style="2" customWidth="1"/>
    <col min="4" max="4" width="6.75390625" style="7" customWidth="1"/>
    <col min="5" max="5" width="6.75390625" style="2" customWidth="1"/>
    <col min="6" max="6" width="6.75390625" style="7" customWidth="1"/>
    <col min="7" max="7" width="6.75390625" style="2" customWidth="1"/>
    <col min="8" max="12" width="6.75390625" style="7" customWidth="1"/>
    <col min="13" max="13" width="8.25390625" style="7" customWidth="1"/>
    <col min="14" max="14" width="6.75390625" style="7" customWidth="1"/>
    <col min="15" max="15" width="4.75390625" style="7" customWidth="1"/>
    <col min="16" max="16" width="6.75390625" style="7" customWidth="1"/>
    <col min="17" max="17" width="6.75390625" style="28" customWidth="1"/>
    <col min="18" max="19" width="6.75390625" style="7" customWidth="1"/>
    <col min="20" max="20" width="0.875" style="6" hidden="1" customWidth="1"/>
    <col min="21" max="21" width="6.75390625" style="6" hidden="1" customWidth="1"/>
    <col min="22" max="41" width="11.375" style="6" hidden="1" customWidth="1"/>
    <col min="42" max="42" width="11.375" style="6" customWidth="1"/>
    <col min="43" max="53" width="11.375" style="31" customWidth="1"/>
    <col min="54" max="16384" width="11.375" style="6" customWidth="1"/>
  </cols>
  <sheetData>
    <row r="1" spans="1:53" s="12" customFormat="1" ht="13.5">
      <c r="A1" s="12" t="s">
        <v>145</v>
      </c>
      <c r="B1" s="11"/>
      <c r="C1" s="110"/>
      <c r="D1"/>
      <c r="E1" s="103"/>
      <c r="F1" s="34"/>
      <c r="H1" s="19"/>
      <c r="I1" s="10"/>
      <c r="M1" s="11"/>
      <c r="N1" s="10"/>
      <c r="O1" s="10"/>
      <c r="P1" s="10"/>
      <c r="Q1" s="26"/>
      <c r="R1" s="10"/>
      <c r="S1" s="10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</row>
    <row r="2" spans="1:53" s="12" customFormat="1" ht="13.5">
      <c r="A2" s="14" t="s">
        <v>155</v>
      </c>
      <c r="B2" s="11"/>
      <c r="C2" s="111"/>
      <c r="D2" s="40"/>
      <c r="E2" s="51"/>
      <c r="F2" s="41"/>
      <c r="H2" s="19"/>
      <c r="I2" s="10"/>
      <c r="M2" s="11"/>
      <c r="N2" s="10"/>
      <c r="O2" s="10"/>
      <c r="P2" s="10"/>
      <c r="Q2" s="26"/>
      <c r="R2" s="10"/>
      <c r="S2" s="10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</row>
    <row r="3" spans="1:19" s="34" customFormat="1" ht="13.5">
      <c r="A3" s="34" t="s">
        <v>154</v>
      </c>
      <c r="B3" s="85"/>
      <c r="C3" s="110"/>
      <c r="D3"/>
      <c r="E3" s="103"/>
      <c r="H3" s="86"/>
      <c r="I3" s="32"/>
      <c r="M3" s="85"/>
      <c r="N3" s="32"/>
      <c r="O3" s="32"/>
      <c r="P3" s="32"/>
      <c r="Q3" s="82"/>
      <c r="R3" s="32"/>
      <c r="S3" s="32"/>
    </row>
    <row r="4" spans="1:53" s="2" customFormat="1" ht="34.5" customHeight="1">
      <c r="A4" s="4" t="s">
        <v>0</v>
      </c>
      <c r="B4" s="5" t="s">
        <v>157</v>
      </c>
      <c r="C4" s="112"/>
      <c r="D4" s="5" t="s">
        <v>101</v>
      </c>
      <c r="E4" s="115"/>
      <c r="F4" s="5" t="s">
        <v>15</v>
      </c>
      <c r="G4" s="115"/>
      <c r="H4" s="5"/>
      <c r="I4" s="5"/>
      <c r="J4" s="5"/>
      <c r="K4" s="5"/>
      <c r="L4" s="3"/>
      <c r="M4" s="3"/>
      <c r="Q4" s="27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</row>
    <row r="5" spans="1:53" s="1" customFormat="1" ht="12.75">
      <c r="A5" s="1" t="s">
        <v>4</v>
      </c>
      <c r="B5" s="2" t="s">
        <v>96</v>
      </c>
      <c r="C5" s="2"/>
      <c r="D5" s="2" t="s">
        <v>94</v>
      </c>
      <c r="E5" s="2"/>
      <c r="F5" s="2" t="s">
        <v>100</v>
      </c>
      <c r="G5" s="2"/>
      <c r="H5" s="2"/>
      <c r="I5" s="2"/>
      <c r="J5" s="2"/>
      <c r="K5" s="2"/>
      <c r="L5" s="3"/>
      <c r="M5" s="3"/>
      <c r="N5" s="2"/>
      <c r="O5" s="2"/>
      <c r="P5" s="2"/>
      <c r="Q5" s="27"/>
      <c r="R5" s="2"/>
      <c r="S5" s="2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</row>
    <row r="6" spans="1:13" ht="12.75">
      <c r="A6" s="6" t="s">
        <v>156</v>
      </c>
      <c r="B6" s="15"/>
      <c r="C6" s="16"/>
      <c r="D6" s="15">
        <v>1</v>
      </c>
      <c r="E6" s="16"/>
      <c r="F6" s="15">
        <v>1</v>
      </c>
      <c r="G6" s="16"/>
      <c r="L6" s="3"/>
      <c r="M6" s="3"/>
    </row>
    <row r="7" spans="1:13" ht="12.75">
      <c r="A7" s="6" t="s">
        <v>1</v>
      </c>
      <c r="B7" s="15">
        <v>6</v>
      </c>
      <c r="C7" s="16"/>
      <c r="D7" s="15">
        <v>1</v>
      </c>
      <c r="E7" s="16"/>
      <c r="F7" s="15">
        <v>2</v>
      </c>
      <c r="G7" s="16"/>
      <c r="L7" s="3"/>
      <c r="M7" s="3"/>
    </row>
    <row r="8" spans="1:13" ht="12.75">
      <c r="A8" s="6" t="s">
        <v>20</v>
      </c>
      <c r="B8" s="15"/>
      <c r="C8" s="16"/>
      <c r="D8" s="15">
        <v>0</v>
      </c>
      <c r="E8" s="16"/>
      <c r="F8" s="15">
        <v>0</v>
      </c>
      <c r="G8" s="16"/>
      <c r="L8" s="3"/>
      <c r="M8" s="3"/>
    </row>
    <row r="9" spans="1:13" ht="12.75">
      <c r="A9" s="6" t="s">
        <v>2</v>
      </c>
      <c r="B9" s="7">
        <f>SUM(B6:B8)</f>
        <v>6</v>
      </c>
      <c r="D9" s="7">
        <f>SUM(D6:D8)</f>
        <v>2</v>
      </c>
      <c r="F9" s="7">
        <f>SUM(F6:F8)</f>
        <v>3</v>
      </c>
      <c r="L9" s="3"/>
      <c r="M9" s="3"/>
    </row>
    <row r="10" spans="1:13" ht="12.75">
      <c r="A10" s="6" t="s">
        <v>21</v>
      </c>
      <c r="B10" s="15">
        <v>1</v>
      </c>
      <c r="C10" s="16"/>
      <c r="D10" s="15">
        <v>1</v>
      </c>
      <c r="E10" s="16"/>
      <c r="F10" s="15">
        <v>1</v>
      </c>
      <c r="G10" s="16"/>
      <c r="L10" s="3"/>
      <c r="M10" s="3"/>
    </row>
    <row r="11" spans="1:53" s="12" customFormat="1" ht="12.75">
      <c r="A11" s="12" t="s">
        <v>3</v>
      </c>
      <c r="B11" s="10">
        <f>SUM(B9:B10)</f>
        <v>7</v>
      </c>
      <c r="C11" s="10"/>
      <c r="D11" s="10">
        <f>SUM(D9:D10)</f>
        <v>3</v>
      </c>
      <c r="E11" s="10"/>
      <c r="F11" s="10">
        <f>SUM(F9:F10)</f>
        <v>4</v>
      </c>
      <c r="G11" s="10"/>
      <c r="H11" s="10"/>
      <c r="I11" s="10"/>
      <c r="J11" s="10"/>
      <c r="K11" s="10"/>
      <c r="L11" s="11"/>
      <c r="M11" s="11"/>
      <c r="N11" s="10"/>
      <c r="O11" s="10"/>
      <c r="P11" s="10"/>
      <c r="Q11" s="26"/>
      <c r="R11" s="10"/>
      <c r="S11" s="10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</row>
    <row r="12" spans="1:53" s="1" customFormat="1" ht="39.75" customHeight="1">
      <c r="A12" s="1" t="s">
        <v>5</v>
      </c>
      <c r="B12"/>
      <c r="C12" s="103"/>
      <c r="D12" s="7"/>
      <c r="E12" s="2"/>
      <c r="F12" s="7"/>
      <c r="G12" s="2"/>
      <c r="H12" s="2" t="s">
        <v>7</v>
      </c>
      <c r="I12" s="8" t="s">
        <v>30</v>
      </c>
      <c r="J12" s="9" t="s">
        <v>31</v>
      </c>
      <c r="K12" s="9" t="s">
        <v>12</v>
      </c>
      <c r="L12" s="8" t="s">
        <v>9</v>
      </c>
      <c r="M12" s="24" t="s">
        <v>111</v>
      </c>
      <c r="N12" s="9" t="s">
        <v>6</v>
      </c>
      <c r="O12" s="17" t="s">
        <v>38</v>
      </c>
      <c r="P12" s="17" t="s">
        <v>32</v>
      </c>
      <c r="Q12" s="29" t="s">
        <v>24</v>
      </c>
      <c r="R12" s="17" t="s">
        <v>25</v>
      </c>
      <c r="S12" s="15" t="s">
        <v>26</v>
      </c>
      <c r="AP12" s="1" t="s">
        <v>28</v>
      </c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</row>
    <row r="13" spans="1:42" ht="12.75">
      <c r="A13" s="6" t="s">
        <v>14</v>
      </c>
      <c r="B13" s="15">
        <v>6</v>
      </c>
      <c r="C13" s="16"/>
      <c r="D13" s="15">
        <v>6</v>
      </c>
      <c r="E13" s="16"/>
      <c r="F13" s="15"/>
      <c r="G13" s="16"/>
      <c r="H13" s="7">
        <f aca="true" t="shared" si="0" ref="H13:H30">SUMPRODUCT(B13:F13,B$11:F$11)</f>
        <v>60</v>
      </c>
      <c r="I13" s="7">
        <v>30</v>
      </c>
      <c r="J13" s="7">
        <f aca="true" t="shared" si="1" ref="J13:J29">ROUND(H13*(1+I13/100),0)</f>
        <v>78</v>
      </c>
      <c r="K13" s="15">
        <f>J13</f>
        <v>78</v>
      </c>
      <c r="L13" s="15">
        <v>10.85</v>
      </c>
      <c r="M13" s="7">
        <f>L13*1.2</f>
        <v>13.02</v>
      </c>
      <c r="N13" s="43">
        <f aca="true" t="shared" si="2" ref="N13:N29">K13*M13/1000</f>
        <v>1.01556</v>
      </c>
      <c r="O13" s="18">
        <v>1</v>
      </c>
      <c r="P13" s="18">
        <v>7.65</v>
      </c>
      <c r="Q13" s="30" t="s">
        <v>34</v>
      </c>
      <c r="R13" s="15" t="s">
        <v>27</v>
      </c>
      <c r="S13" s="18" t="s">
        <v>115</v>
      </c>
      <c r="AP13" s="6" t="s">
        <v>137</v>
      </c>
    </row>
    <row r="14" spans="1:53" s="20" customFormat="1" ht="12.75">
      <c r="A14" s="20" t="s">
        <v>23</v>
      </c>
      <c r="B14" s="21">
        <v>1</v>
      </c>
      <c r="C14" s="113"/>
      <c r="D14" s="21">
        <v>1</v>
      </c>
      <c r="E14" s="113"/>
      <c r="F14" s="21"/>
      <c r="G14" s="113"/>
      <c r="H14" s="22">
        <f t="shared" si="0"/>
        <v>10</v>
      </c>
      <c r="I14" s="22">
        <v>30</v>
      </c>
      <c r="J14" s="22">
        <f t="shared" si="1"/>
        <v>13</v>
      </c>
      <c r="K14" s="15">
        <f aca="true" t="shared" si="3" ref="K14:K29">J14</f>
        <v>13</v>
      </c>
      <c r="L14" s="21">
        <v>16.15</v>
      </c>
      <c r="M14" s="22">
        <f>L14*1.2</f>
        <v>19.38</v>
      </c>
      <c r="N14" s="43">
        <f t="shared" si="2"/>
        <v>0.25194</v>
      </c>
      <c r="O14" s="23">
        <v>1</v>
      </c>
      <c r="P14" s="23">
        <v>10.6</v>
      </c>
      <c r="Q14" s="30" t="s">
        <v>34</v>
      </c>
      <c r="R14" s="15" t="s">
        <v>27</v>
      </c>
      <c r="S14" s="18" t="s">
        <v>115</v>
      </c>
      <c r="AP14" s="20" t="s">
        <v>138</v>
      </c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</row>
    <row r="15" spans="1:42" ht="12.75">
      <c r="A15" s="6" t="s">
        <v>10</v>
      </c>
      <c r="B15" s="15">
        <v>15</v>
      </c>
      <c r="C15" s="16"/>
      <c r="D15" s="15">
        <v>3</v>
      </c>
      <c r="E15" s="16"/>
      <c r="F15" s="15"/>
      <c r="G15" s="16"/>
      <c r="H15" s="7">
        <f t="shared" si="0"/>
        <v>114</v>
      </c>
      <c r="I15" s="7">
        <v>30</v>
      </c>
      <c r="J15" s="7">
        <f t="shared" si="1"/>
        <v>148</v>
      </c>
      <c r="K15" s="15">
        <f t="shared" si="3"/>
        <v>148</v>
      </c>
      <c r="L15" s="15">
        <v>13.8</v>
      </c>
      <c r="M15" s="7">
        <f>ROUND(L15*1.2,1)</f>
        <v>16.6</v>
      </c>
      <c r="N15" s="43">
        <f t="shared" si="2"/>
        <v>2.4568000000000003</v>
      </c>
      <c r="O15" s="15">
        <v>440</v>
      </c>
      <c r="P15" s="15">
        <v>8.95</v>
      </c>
      <c r="Q15" s="30" t="s">
        <v>34</v>
      </c>
      <c r="R15" s="15" t="s">
        <v>27</v>
      </c>
      <c r="S15" s="18" t="s">
        <v>115</v>
      </c>
      <c r="AP15" s="6" t="s">
        <v>130</v>
      </c>
    </row>
    <row r="16" spans="1:42" ht="12.75">
      <c r="A16" s="6" t="s">
        <v>119</v>
      </c>
      <c r="B16" s="15"/>
      <c r="C16" s="16"/>
      <c r="D16" s="15">
        <v>6</v>
      </c>
      <c r="E16" s="16"/>
      <c r="F16" s="15"/>
      <c r="G16" s="16"/>
      <c r="H16" s="7">
        <f t="shared" si="0"/>
        <v>18</v>
      </c>
      <c r="I16" s="7">
        <v>30</v>
      </c>
      <c r="J16" s="7">
        <f>ROUND(H16*(1+I16/100),0)</f>
        <v>23</v>
      </c>
      <c r="K16" s="15">
        <v>40</v>
      </c>
      <c r="L16" s="15">
        <v>5</v>
      </c>
      <c r="M16" s="7">
        <f>ROUND(L16*1.2,1)</f>
        <v>6</v>
      </c>
      <c r="N16" s="43">
        <f>K16*M16/1000</f>
        <v>0.24</v>
      </c>
      <c r="O16" s="15">
        <v>50</v>
      </c>
      <c r="P16" s="15">
        <v>5</v>
      </c>
      <c r="Q16" s="30" t="s">
        <v>114</v>
      </c>
      <c r="R16" s="15" t="s">
        <v>27</v>
      </c>
      <c r="S16" s="66" t="s">
        <v>116</v>
      </c>
      <c r="AP16" s="6" t="s">
        <v>129</v>
      </c>
    </row>
    <row r="17" spans="1:42" ht="12.75">
      <c r="A17" s="6" t="s">
        <v>143</v>
      </c>
      <c r="B17" s="15"/>
      <c r="C17" s="16"/>
      <c r="D17" s="15">
        <v>6</v>
      </c>
      <c r="E17" s="16"/>
      <c r="F17" s="15"/>
      <c r="G17" s="16"/>
      <c r="H17" s="7">
        <f>SUMPRODUCT(B17:F17,B$11:F$11)</f>
        <v>18</v>
      </c>
      <c r="I17" s="7">
        <v>30</v>
      </c>
      <c r="J17" s="7">
        <f>ROUND(H17*(1+I17/100),0)</f>
        <v>23</v>
      </c>
      <c r="K17" s="15">
        <f t="shared" si="3"/>
        <v>23</v>
      </c>
      <c r="L17" s="15">
        <v>36</v>
      </c>
      <c r="M17" s="7">
        <f>ROUND(L17*1.2,1)</f>
        <v>43.2</v>
      </c>
      <c r="N17" s="43">
        <f>K17*M17/1000</f>
        <v>0.9936</v>
      </c>
      <c r="O17" s="15">
        <v>50</v>
      </c>
      <c r="P17" s="15">
        <v>5</v>
      </c>
      <c r="Q17" s="30" t="s">
        <v>114</v>
      </c>
      <c r="R17" s="15" t="s">
        <v>27</v>
      </c>
      <c r="S17" s="66" t="s">
        <v>116</v>
      </c>
      <c r="AP17" s="6" t="s">
        <v>158</v>
      </c>
    </row>
    <row r="18" spans="1:42" ht="12.75">
      <c r="A18" s="6" t="s">
        <v>11</v>
      </c>
      <c r="B18" s="15"/>
      <c r="C18" s="16"/>
      <c r="D18" s="15">
        <v>2</v>
      </c>
      <c r="E18" s="16"/>
      <c r="F18" s="15"/>
      <c r="G18" s="16"/>
      <c r="H18" s="7">
        <f t="shared" si="0"/>
        <v>6</v>
      </c>
      <c r="I18" s="7">
        <v>30</v>
      </c>
      <c r="J18" s="7">
        <f t="shared" si="1"/>
        <v>8</v>
      </c>
      <c r="K18" s="15">
        <f t="shared" si="3"/>
        <v>8</v>
      </c>
      <c r="L18" s="15">
        <v>75.8</v>
      </c>
      <c r="M18" s="7">
        <f aca="true" t="shared" si="4" ref="M18:M24">L18*1.2</f>
        <v>90.96</v>
      </c>
      <c r="N18" s="43">
        <f t="shared" si="2"/>
        <v>0.72768</v>
      </c>
      <c r="O18" s="15">
        <v>10</v>
      </c>
      <c r="P18" s="15">
        <v>75.8</v>
      </c>
      <c r="Q18" s="30" t="s">
        <v>34</v>
      </c>
      <c r="R18" s="15" t="s">
        <v>27</v>
      </c>
      <c r="S18" s="18" t="s">
        <v>115</v>
      </c>
      <c r="AP18" s="6" t="s">
        <v>128</v>
      </c>
    </row>
    <row r="19" spans="1:42" ht="12.75">
      <c r="A19" s="6" t="s">
        <v>22</v>
      </c>
      <c r="B19" s="15">
        <v>8</v>
      </c>
      <c r="C19" s="16"/>
      <c r="D19" s="15">
        <v>4</v>
      </c>
      <c r="E19" s="16"/>
      <c r="F19" s="15"/>
      <c r="G19" s="16"/>
      <c r="H19" s="7">
        <f t="shared" si="0"/>
        <v>68</v>
      </c>
      <c r="I19" s="7">
        <v>30</v>
      </c>
      <c r="J19" s="7">
        <f t="shared" si="1"/>
        <v>88</v>
      </c>
      <c r="K19" s="15">
        <f t="shared" si="3"/>
        <v>88</v>
      </c>
      <c r="L19" s="15">
        <f>L18</f>
        <v>75.8</v>
      </c>
      <c r="M19" s="7">
        <f t="shared" si="4"/>
        <v>90.96</v>
      </c>
      <c r="N19" s="43">
        <f t="shared" si="2"/>
        <v>8.00448</v>
      </c>
      <c r="O19" s="15">
        <v>10</v>
      </c>
      <c r="P19" s="15" t="s">
        <v>106</v>
      </c>
      <c r="Q19" s="30" t="s">
        <v>51</v>
      </c>
      <c r="R19" s="15"/>
      <c r="S19" s="18"/>
      <c r="AP19" s="6" t="s">
        <v>126</v>
      </c>
    </row>
    <row r="20" spans="1:42" ht="12.75">
      <c r="A20" s="6" t="s">
        <v>62</v>
      </c>
      <c r="B20" s="15">
        <v>1</v>
      </c>
      <c r="C20" s="16"/>
      <c r="D20" s="15">
        <v>1</v>
      </c>
      <c r="E20" s="16"/>
      <c r="F20" s="15">
        <v>1</v>
      </c>
      <c r="G20" s="16"/>
      <c r="H20" s="7">
        <f t="shared" si="0"/>
        <v>14</v>
      </c>
      <c r="I20" s="7">
        <v>30</v>
      </c>
      <c r="J20" s="7">
        <f t="shared" si="1"/>
        <v>18</v>
      </c>
      <c r="K20" s="15">
        <f t="shared" si="3"/>
        <v>18</v>
      </c>
      <c r="L20" s="15">
        <v>13.6</v>
      </c>
      <c r="M20" s="7">
        <f t="shared" si="4"/>
        <v>16.32</v>
      </c>
      <c r="N20" s="43">
        <f t="shared" si="2"/>
        <v>0.29375999999999997</v>
      </c>
      <c r="O20" s="15" t="s">
        <v>68</v>
      </c>
      <c r="P20" s="15">
        <v>17.6</v>
      </c>
      <c r="Q20" s="30" t="s">
        <v>61</v>
      </c>
      <c r="R20" s="15" t="s">
        <v>27</v>
      </c>
      <c r="S20" s="18" t="s">
        <v>69</v>
      </c>
      <c r="AP20" s="6" t="s">
        <v>134</v>
      </c>
    </row>
    <row r="21" spans="1:42" ht="12.75" customHeight="1">
      <c r="A21" s="6" t="s">
        <v>63</v>
      </c>
      <c r="B21" s="15">
        <v>1</v>
      </c>
      <c r="C21" s="16"/>
      <c r="D21" s="15">
        <v>1</v>
      </c>
      <c r="E21" s="16"/>
      <c r="F21" s="15">
        <v>1</v>
      </c>
      <c r="G21" s="16"/>
      <c r="H21" s="7">
        <f t="shared" si="0"/>
        <v>14</v>
      </c>
      <c r="I21" s="7">
        <v>30</v>
      </c>
      <c r="J21" s="7">
        <f t="shared" si="1"/>
        <v>18</v>
      </c>
      <c r="K21" s="15">
        <f t="shared" si="3"/>
        <v>18</v>
      </c>
      <c r="L21" s="15">
        <v>43.2</v>
      </c>
      <c r="M21" s="7">
        <f t="shared" si="4"/>
        <v>51.84</v>
      </c>
      <c r="N21" s="43">
        <f t="shared" si="2"/>
        <v>0.9331200000000002</v>
      </c>
      <c r="O21" s="15">
        <v>98</v>
      </c>
      <c r="P21" s="15">
        <v>43.2</v>
      </c>
      <c r="Q21" s="30" t="s">
        <v>34</v>
      </c>
      <c r="R21" s="15" t="s">
        <v>27</v>
      </c>
      <c r="S21" s="18" t="s">
        <v>115</v>
      </c>
      <c r="AP21" s="6" t="s">
        <v>135</v>
      </c>
    </row>
    <row r="22" spans="1:42" ht="12.75" customHeight="1">
      <c r="A22" s="6" t="s">
        <v>16</v>
      </c>
      <c r="B22" s="15">
        <v>16</v>
      </c>
      <c r="C22" s="16"/>
      <c r="D22" s="15">
        <v>1</v>
      </c>
      <c r="E22" s="16"/>
      <c r="F22" s="15">
        <v>36</v>
      </c>
      <c r="G22" s="16"/>
      <c r="H22" s="7">
        <f t="shared" si="0"/>
        <v>259</v>
      </c>
      <c r="I22" s="7">
        <v>30</v>
      </c>
      <c r="J22" s="7">
        <f t="shared" si="1"/>
        <v>337</v>
      </c>
      <c r="K22" s="15">
        <f t="shared" si="3"/>
        <v>337</v>
      </c>
      <c r="L22" s="15">
        <v>4.4</v>
      </c>
      <c r="M22" s="7">
        <f t="shared" si="4"/>
        <v>5.28</v>
      </c>
      <c r="N22" s="43">
        <f t="shared" si="2"/>
        <v>1.77936</v>
      </c>
      <c r="O22" s="15">
        <v>1</v>
      </c>
      <c r="P22" s="15">
        <v>4.4</v>
      </c>
      <c r="Q22" s="30" t="s">
        <v>114</v>
      </c>
      <c r="R22" s="15" t="s">
        <v>27</v>
      </c>
      <c r="S22" s="18" t="s">
        <v>115</v>
      </c>
      <c r="AP22" s="6" t="s">
        <v>136</v>
      </c>
    </row>
    <row r="23" spans="1:42" ht="12.75">
      <c r="A23" s="6" t="s">
        <v>17</v>
      </c>
      <c r="B23" s="15">
        <v>26</v>
      </c>
      <c r="C23" s="16"/>
      <c r="D23" s="15">
        <v>23</v>
      </c>
      <c r="E23" s="16"/>
      <c r="F23" s="15">
        <v>6</v>
      </c>
      <c r="G23" s="16"/>
      <c r="H23" s="7">
        <f t="shared" si="0"/>
        <v>275</v>
      </c>
      <c r="I23" s="7">
        <v>30</v>
      </c>
      <c r="J23" s="7">
        <f t="shared" si="1"/>
        <v>358</v>
      </c>
      <c r="K23" s="15">
        <f t="shared" si="3"/>
        <v>358</v>
      </c>
      <c r="L23" s="15">
        <v>4.4</v>
      </c>
      <c r="M23" s="7">
        <f t="shared" si="4"/>
        <v>5.28</v>
      </c>
      <c r="N23" s="43">
        <f t="shared" si="2"/>
        <v>1.89024</v>
      </c>
      <c r="O23" s="15">
        <v>1</v>
      </c>
      <c r="P23" s="15">
        <v>4.4</v>
      </c>
      <c r="Q23" s="30" t="s">
        <v>114</v>
      </c>
      <c r="R23" s="15" t="s">
        <v>27</v>
      </c>
      <c r="S23" s="18" t="s">
        <v>115</v>
      </c>
      <c r="AP23" s="6" t="s">
        <v>136</v>
      </c>
    </row>
    <row r="24" spans="1:19" ht="12.75">
      <c r="A24" s="6" t="s">
        <v>13</v>
      </c>
      <c r="B24" s="15">
        <v>6</v>
      </c>
      <c r="C24" s="16"/>
      <c r="D24" s="15">
        <v>1</v>
      </c>
      <c r="E24" s="16"/>
      <c r="F24" s="15">
        <v>6</v>
      </c>
      <c r="G24" s="16"/>
      <c r="H24" s="7">
        <f t="shared" si="0"/>
        <v>69</v>
      </c>
      <c r="I24" s="7">
        <v>30</v>
      </c>
      <c r="J24" s="7">
        <f t="shared" si="1"/>
        <v>90</v>
      </c>
      <c r="K24" s="15">
        <f t="shared" si="3"/>
        <v>90</v>
      </c>
      <c r="L24" s="15">
        <v>9</v>
      </c>
      <c r="M24" s="7">
        <f t="shared" si="4"/>
        <v>10.799999999999999</v>
      </c>
      <c r="N24" s="43">
        <f t="shared" si="2"/>
        <v>0.9719999999999999</v>
      </c>
      <c r="O24" s="15">
        <v>100</v>
      </c>
      <c r="P24" s="15">
        <v>9.1</v>
      </c>
      <c r="Q24" s="30" t="s">
        <v>117</v>
      </c>
      <c r="R24" s="15" t="s">
        <v>27</v>
      </c>
      <c r="S24" s="18" t="s">
        <v>29</v>
      </c>
    </row>
    <row r="25" spans="1:42" ht="12.75">
      <c r="A25" s="6" t="s">
        <v>108</v>
      </c>
      <c r="B25" s="15"/>
      <c r="C25" s="16"/>
      <c r="D25" s="15">
        <v>6</v>
      </c>
      <c r="E25" s="16"/>
      <c r="F25" s="15">
        <v>1</v>
      </c>
      <c r="G25" s="16"/>
      <c r="H25" s="7">
        <f t="shared" si="0"/>
        <v>22</v>
      </c>
      <c r="I25" s="7">
        <v>30</v>
      </c>
      <c r="J25" s="7">
        <f>ROUND(H25*(1+I25/100),0)</f>
        <v>29</v>
      </c>
      <c r="K25" s="15">
        <f>J25</f>
        <v>29</v>
      </c>
      <c r="L25" s="15">
        <v>50</v>
      </c>
      <c r="M25" s="7">
        <f>L25*1.2</f>
        <v>60</v>
      </c>
      <c r="N25" s="43">
        <f>K25*M25/1000</f>
        <v>1.74</v>
      </c>
      <c r="O25" s="15">
        <v>1</v>
      </c>
      <c r="P25" s="15" t="s">
        <v>106</v>
      </c>
      <c r="Q25" s="30" t="s">
        <v>109</v>
      </c>
      <c r="R25" s="15" t="s">
        <v>58</v>
      </c>
      <c r="S25" s="66" t="s">
        <v>110</v>
      </c>
      <c r="T25"/>
      <c r="U25"/>
      <c r="AP25" s="6" t="s">
        <v>139</v>
      </c>
    </row>
    <row r="26" spans="1:42" ht="12.75">
      <c r="A26" s="6" t="s">
        <v>120</v>
      </c>
      <c r="B26" s="15">
        <v>5</v>
      </c>
      <c r="C26" s="16"/>
      <c r="D26" s="15"/>
      <c r="E26" s="16"/>
      <c r="F26" s="15"/>
      <c r="G26" s="16"/>
      <c r="H26" s="7">
        <f t="shared" si="0"/>
        <v>35</v>
      </c>
      <c r="I26" s="15">
        <v>30</v>
      </c>
      <c r="J26" s="7">
        <f>ROUND(H26*(1+I26/100),0)</f>
        <v>46</v>
      </c>
      <c r="K26" s="15">
        <v>46</v>
      </c>
      <c r="L26" s="15">
        <v>420</v>
      </c>
      <c r="M26" s="7">
        <f>L26*1.2</f>
        <v>504</v>
      </c>
      <c r="N26" s="43">
        <f>K26*M26/1000</f>
        <v>23.184</v>
      </c>
      <c r="O26" s="7">
        <v>24</v>
      </c>
      <c r="P26" s="7" t="s">
        <v>124</v>
      </c>
      <c r="Q26" s="4" t="s">
        <v>102</v>
      </c>
      <c r="R26" s="15" t="s">
        <v>58</v>
      </c>
      <c r="S26" s="18" t="s">
        <v>125</v>
      </c>
      <c r="T26" s="7" t="str">
        <f>S26</f>
        <v>2/00</v>
      </c>
      <c r="U26" s="42" t="e">
        <f>R26*T26/1000</f>
        <v>#VALUE!</v>
      </c>
      <c r="V26" s="15" t="s">
        <v>121</v>
      </c>
      <c r="W26" s="15">
        <v>1</v>
      </c>
      <c r="X26" s="15">
        <v>310</v>
      </c>
      <c r="Y26" s="30" t="s">
        <v>122</v>
      </c>
      <c r="Z26" s="15" t="s">
        <v>27</v>
      </c>
      <c r="AA26" s="66" t="s">
        <v>110</v>
      </c>
      <c r="AB26" s="98" t="s">
        <v>123</v>
      </c>
      <c r="AC26" s="99"/>
      <c r="AD26" s="101"/>
      <c r="AE26" s="102"/>
      <c r="AF26" s="101"/>
      <c r="AG26"/>
      <c r="AH26"/>
      <c r="AP26" s="6" t="s">
        <v>127</v>
      </c>
    </row>
    <row r="27" spans="1:42" ht="12.75">
      <c r="A27" s="6" t="s">
        <v>107</v>
      </c>
      <c r="B27" s="15"/>
      <c r="C27" s="16"/>
      <c r="D27" s="15">
        <v>7</v>
      </c>
      <c r="E27" s="16"/>
      <c r="F27" s="15">
        <v>1</v>
      </c>
      <c r="G27" s="16"/>
      <c r="H27" s="7">
        <f t="shared" si="0"/>
        <v>25</v>
      </c>
      <c r="I27" s="7">
        <v>30</v>
      </c>
      <c r="J27" s="7">
        <f t="shared" si="1"/>
        <v>33</v>
      </c>
      <c r="K27" s="15">
        <v>32</v>
      </c>
      <c r="L27" s="15">
        <v>125</v>
      </c>
      <c r="M27" s="7">
        <f>L27*1.2</f>
        <v>150</v>
      </c>
      <c r="N27" s="43">
        <f t="shared" si="2"/>
        <v>4.8</v>
      </c>
      <c r="O27" s="15">
        <v>24</v>
      </c>
      <c r="P27" s="15" t="s">
        <v>106</v>
      </c>
      <c r="Q27" s="30" t="s">
        <v>114</v>
      </c>
      <c r="R27" s="15" t="s">
        <v>27</v>
      </c>
      <c r="S27" s="66" t="s">
        <v>116</v>
      </c>
      <c r="T27"/>
      <c r="U27"/>
      <c r="AP27" s="6" t="s">
        <v>140</v>
      </c>
    </row>
    <row r="28" spans="1:43" ht="12.75" customHeight="1">
      <c r="A28" s="6" t="s">
        <v>65</v>
      </c>
      <c r="B28" s="15">
        <v>1</v>
      </c>
      <c r="C28" s="16"/>
      <c r="D28" s="15"/>
      <c r="E28" s="16"/>
      <c r="F28" s="15"/>
      <c r="G28" s="16"/>
      <c r="H28" s="7">
        <f t="shared" si="0"/>
        <v>7</v>
      </c>
      <c r="I28" s="7">
        <v>30</v>
      </c>
      <c r="J28" s="7">
        <f t="shared" si="1"/>
        <v>9</v>
      </c>
      <c r="K28" s="15">
        <f t="shared" si="3"/>
        <v>9</v>
      </c>
      <c r="L28" s="65">
        <f>MRG!G10</f>
        <v>24.24</v>
      </c>
      <c r="M28" s="77">
        <f>L28*1.2</f>
        <v>29.087999999999997</v>
      </c>
      <c r="N28" s="43">
        <f t="shared" si="2"/>
        <v>0.26179199999999997</v>
      </c>
      <c r="O28" s="15"/>
      <c r="P28" s="15"/>
      <c r="Q28" s="30"/>
      <c r="R28" s="15"/>
      <c r="S28" s="18"/>
      <c r="T28"/>
      <c r="U28"/>
      <c r="AP28" s="72"/>
      <c r="AQ28" s="117"/>
    </row>
    <row r="29" spans="1:43" ht="12.75" customHeight="1">
      <c r="A29" s="6" t="s">
        <v>72</v>
      </c>
      <c r="B29" s="15"/>
      <c r="C29" s="16"/>
      <c r="D29" s="15">
        <v>1</v>
      </c>
      <c r="E29" s="16"/>
      <c r="F29" s="15">
        <v>1</v>
      </c>
      <c r="G29" s="16"/>
      <c r="H29" s="7">
        <f t="shared" si="0"/>
        <v>7</v>
      </c>
      <c r="I29" s="7">
        <v>30</v>
      </c>
      <c r="J29" s="7">
        <f t="shared" si="1"/>
        <v>9</v>
      </c>
      <c r="K29" s="15">
        <f t="shared" si="3"/>
        <v>9</v>
      </c>
      <c r="L29" s="65">
        <f>L28</f>
        <v>24.24</v>
      </c>
      <c r="M29" s="77">
        <f>L29*1.2</f>
        <v>29.087999999999997</v>
      </c>
      <c r="N29" s="43">
        <f t="shared" si="2"/>
        <v>0.26179199999999997</v>
      </c>
      <c r="O29" s="15"/>
      <c r="P29" s="15"/>
      <c r="Q29" s="30"/>
      <c r="R29" s="15"/>
      <c r="S29" s="18"/>
      <c r="T29"/>
      <c r="U29"/>
      <c r="AP29" s="72"/>
      <c r="AQ29" s="117"/>
    </row>
    <row r="30" spans="1:42" s="31" customFormat="1" ht="12.75">
      <c r="A30" s="31" t="s">
        <v>95</v>
      </c>
      <c r="B30" s="36">
        <v>1</v>
      </c>
      <c r="C30" s="114"/>
      <c r="D30" s="36">
        <v>1</v>
      </c>
      <c r="E30" s="114"/>
      <c r="F30" s="36"/>
      <c r="G30" s="114"/>
      <c r="H30" s="25">
        <f t="shared" si="0"/>
        <v>10</v>
      </c>
      <c r="I30" s="25">
        <v>30</v>
      </c>
      <c r="J30" s="25">
        <f>ROUND(H30*(1+I30/100),0)</f>
        <v>13</v>
      </c>
      <c r="K30" s="36">
        <v>13</v>
      </c>
      <c r="L30" s="36">
        <v>9.4</v>
      </c>
      <c r="M30" s="25">
        <f>ROUND(L30*1.062,1)</f>
        <v>10</v>
      </c>
      <c r="N30" s="43">
        <f>K30*M30/1000</f>
        <v>0.13</v>
      </c>
      <c r="O30" s="36">
        <v>30</v>
      </c>
      <c r="P30" s="36">
        <v>9.4</v>
      </c>
      <c r="Q30" s="37" t="s">
        <v>34</v>
      </c>
      <c r="R30" s="36" t="s">
        <v>27</v>
      </c>
      <c r="S30" s="38" t="s">
        <v>67</v>
      </c>
      <c r="T30"/>
      <c r="U30"/>
      <c r="AP30" s="31" t="s">
        <v>131</v>
      </c>
    </row>
    <row r="31" spans="1:53" s="14" customFormat="1" ht="12.75">
      <c r="A31" s="14" t="s">
        <v>19</v>
      </c>
      <c r="B31" s="13"/>
      <c r="C31" s="10"/>
      <c r="D31" s="13"/>
      <c r="E31" s="10"/>
      <c r="F31" s="13"/>
      <c r="G31" s="10"/>
      <c r="H31" s="13"/>
      <c r="I31" s="13"/>
      <c r="J31" s="13"/>
      <c r="K31" s="13"/>
      <c r="L31" s="13"/>
      <c r="M31" s="13"/>
      <c r="N31" s="109">
        <f>SUM(N13:N30)</f>
        <v>49.936124</v>
      </c>
      <c r="O31" s="13"/>
      <c r="P31" s="13"/>
      <c r="Q31" s="108"/>
      <c r="R31" s="13"/>
      <c r="S31" s="46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</row>
    <row r="32" spans="1:42" ht="12.75">
      <c r="A32" s="6" t="s">
        <v>18</v>
      </c>
      <c r="B32" s="7">
        <f>ROUND(SUMPRODUCT(B12:B29,$M12:$M29)/1000,2)</f>
        <v>3.98</v>
      </c>
      <c r="D32" s="7">
        <f>ROUND(SUMPRODUCT(D12:D29,$M12:$M29)/1000,2)</f>
        <v>2.63</v>
      </c>
      <c r="F32" s="7">
        <f>ROUND(SUMPRODUCT(F12:F29,$M12:$M29)/1000,2)</f>
        <v>0.59</v>
      </c>
      <c r="L32" s="25"/>
      <c r="M32" s="25"/>
      <c r="N32" s="25"/>
      <c r="O32" s="25"/>
      <c r="P32" s="25"/>
      <c r="Q32" s="35"/>
      <c r="R32" s="25"/>
      <c r="S32" s="47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</row>
    <row r="33" spans="1:42" ht="12.75">
      <c r="A33" s="6" t="s">
        <v>148</v>
      </c>
      <c r="B33" s="7">
        <f>ROUND(B32*1.3,1)</f>
        <v>5.2</v>
      </c>
      <c r="D33" s="7">
        <f>ROUND(D32*1.3,1)</f>
        <v>3.4</v>
      </c>
      <c r="F33" s="7">
        <f>ROUND(F32*1.3,1)</f>
        <v>0.8</v>
      </c>
      <c r="L33" s="25"/>
      <c r="M33" s="25"/>
      <c r="N33" s="25"/>
      <c r="O33" s="25"/>
      <c r="P33" s="25"/>
      <c r="Q33" s="35"/>
      <c r="R33" s="25"/>
      <c r="S33" s="47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</row>
    <row r="34" spans="1:53" s="14" customFormat="1" ht="12.75">
      <c r="A34" s="12" t="s">
        <v>149</v>
      </c>
      <c r="B34" s="13">
        <f>ROUND(B33*B11,2)</f>
        <v>36.4</v>
      </c>
      <c r="C34" s="10">
        <v>30</v>
      </c>
      <c r="D34" s="13">
        <f>ROUND(D33*D11,2)</f>
        <v>10.2</v>
      </c>
      <c r="E34" s="10">
        <v>3</v>
      </c>
      <c r="F34" s="13">
        <f>ROUND(F33*F11,2)</f>
        <v>3.2</v>
      </c>
      <c r="G34" s="10"/>
      <c r="H34" s="122" t="s">
        <v>142</v>
      </c>
      <c r="I34" s="123">
        <f>B34+D34+F34</f>
        <v>49.8</v>
      </c>
      <c r="J34" s="124" t="s">
        <v>142</v>
      </c>
      <c r="K34" s="125">
        <f>C34+E34+G34</f>
        <v>33</v>
      </c>
      <c r="L34" s="47"/>
      <c r="M34" s="47"/>
      <c r="N34" s="47"/>
      <c r="O34" s="31"/>
      <c r="P34" s="31"/>
      <c r="Q34" s="35"/>
      <c r="R34" s="31"/>
      <c r="S34" s="47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</row>
    <row r="35" spans="1:42" ht="12.75">
      <c r="A35" s="6" t="s">
        <v>112</v>
      </c>
      <c r="B35" s="15">
        <v>0.7</v>
      </c>
      <c r="C35" s="16"/>
      <c r="D35" s="15">
        <v>0.7</v>
      </c>
      <c r="E35" s="16"/>
      <c r="F35" s="15">
        <v>0.7</v>
      </c>
      <c r="G35" s="16"/>
      <c r="H35"/>
      <c r="I35"/>
      <c r="J35"/>
      <c r="K35"/>
      <c r="L35" s="47"/>
      <c r="M35" s="47"/>
      <c r="N35" s="47"/>
      <c r="O35" s="25"/>
      <c r="P35" s="25"/>
      <c r="Q35" s="35"/>
      <c r="R35" s="33"/>
      <c r="S35" s="47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</row>
    <row r="36" spans="1:42" ht="12.75">
      <c r="A36" s="6" t="s">
        <v>144</v>
      </c>
      <c r="B36" s="15">
        <v>0</v>
      </c>
      <c r="C36" s="16"/>
      <c r="D36" s="15">
        <v>4</v>
      </c>
      <c r="E36" s="16"/>
      <c r="F36" s="15">
        <v>4</v>
      </c>
      <c r="G36" s="16"/>
      <c r="H36"/>
      <c r="I36"/>
      <c r="J36"/>
      <c r="K36"/>
      <c r="L36" s="47"/>
      <c r="M36" s="47"/>
      <c r="N36" s="47"/>
      <c r="O36" s="25"/>
      <c r="P36" s="25"/>
      <c r="Q36" s="35"/>
      <c r="R36" s="33"/>
      <c r="S36" s="47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</row>
    <row r="37" spans="1:42" ht="12.75">
      <c r="A37" s="6" t="s">
        <v>141</v>
      </c>
      <c r="B37" s="15">
        <v>1</v>
      </c>
      <c r="C37" s="16"/>
      <c r="D37" s="15">
        <v>2</v>
      </c>
      <c r="E37" s="16"/>
      <c r="F37" s="15">
        <v>3</v>
      </c>
      <c r="G37" s="16"/>
      <c r="H37"/>
      <c r="I37"/>
      <c r="J37"/>
      <c r="K37"/>
      <c r="L37" s="47"/>
      <c r="M37" s="47"/>
      <c r="N37" s="47"/>
      <c r="O37" s="25"/>
      <c r="P37" s="25"/>
      <c r="Q37" s="35"/>
      <c r="R37" s="33"/>
      <c r="S37" s="47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</row>
    <row r="38" spans="1:42" ht="12.75">
      <c r="A38" s="6" t="s">
        <v>132</v>
      </c>
      <c r="B38" s="7">
        <v>0.5</v>
      </c>
      <c r="D38" s="7">
        <v>2</v>
      </c>
      <c r="F38" s="7">
        <v>2</v>
      </c>
      <c r="H38"/>
      <c r="I38"/>
      <c r="J38"/>
      <c r="K38"/>
      <c r="L38" s="47"/>
      <c r="M38" s="47"/>
      <c r="N38" s="47"/>
      <c r="O38" s="25"/>
      <c r="P38" s="25"/>
      <c r="Q38" s="35"/>
      <c r="R38" s="25"/>
      <c r="S38" s="47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</row>
    <row r="39" spans="1:42" ht="12.75">
      <c r="A39" s="14" t="s">
        <v>37</v>
      </c>
      <c r="B39" s="107">
        <f>B35*(B11+SUM(B36:B37))+B38</f>
        <v>6.1</v>
      </c>
      <c r="C39" s="100">
        <v>0</v>
      </c>
      <c r="D39" s="107">
        <f>D35*(D11+SUM(D36:D37))+D38</f>
        <v>8.3</v>
      </c>
      <c r="E39" s="100">
        <f>D39</f>
        <v>8.3</v>
      </c>
      <c r="F39" s="107">
        <f>F35*(F11+SUM(F36:F37))+F38</f>
        <v>9.7</v>
      </c>
      <c r="G39" s="100">
        <f>F39-3.8</f>
        <v>5.8999999999999995</v>
      </c>
      <c r="H39"/>
      <c r="I39"/>
      <c r="J39"/>
      <c r="K39"/>
      <c r="L39" s="47"/>
      <c r="M39" s="47"/>
      <c r="N39" s="47"/>
      <c r="O39" s="25"/>
      <c r="P39" s="25"/>
      <c r="Q39" s="35"/>
      <c r="R39" s="33"/>
      <c r="S39" s="47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</row>
    <row r="40" spans="1:42" ht="12.75">
      <c r="A40" s="14" t="s">
        <v>152</v>
      </c>
      <c r="B40" s="107">
        <f aca="true" t="shared" si="5" ref="B40:G40">B39*1.2</f>
        <v>7.319999999999999</v>
      </c>
      <c r="C40" s="100">
        <f t="shared" si="5"/>
        <v>0</v>
      </c>
      <c r="D40" s="107">
        <f t="shared" si="5"/>
        <v>9.96</v>
      </c>
      <c r="E40" s="100">
        <f t="shared" si="5"/>
        <v>9.96</v>
      </c>
      <c r="F40" s="107">
        <f t="shared" si="5"/>
        <v>11.639999999999999</v>
      </c>
      <c r="G40" s="100">
        <f t="shared" si="5"/>
        <v>7.079999999999999</v>
      </c>
      <c r="H40"/>
      <c r="I40"/>
      <c r="J40"/>
      <c r="K40"/>
      <c r="L40" s="47"/>
      <c r="M40" s="47"/>
      <c r="N40" s="47"/>
      <c r="O40" s="25"/>
      <c r="P40" s="25"/>
      <c r="Q40" s="35"/>
      <c r="R40" s="33"/>
      <c r="S40" s="47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</row>
    <row r="41" spans="1:42" ht="12.75">
      <c r="A41" s="6" t="s">
        <v>118</v>
      </c>
      <c r="B41" s="15">
        <v>1</v>
      </c>
      <c r="C41" s="16"/>
      <c r="D41" s="15">
        <v>0.5</v>
      </c>
      <c r="E41" s="16"/>
      <c r="F41" s="15">
        <v>0.4</v>
      </c>
      <c r="G41" s="16"/>
      <c r="H41"/>
      <c r="I41"/>
      <c r="J41"/>
      <c r="K41"/>
      <c r="L41" s="47"/>
      <c r="M41" s="47"/>
      <c r="N41" s="47"/>
      <c r="O41" s="25"/>
      <c r="P41" s="25"/>
      <c r="Q41" s="35"/>
      <c r="R41" s="33"/>
      <c r="S41" s="47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</row>
    <row r="42" spans="1:42" ht="12.75">
      <c r="A42" s="6" t="s">
        <v>133</v>
      </c>
      <c r="B42" s="7">
        <v>0.5</v>
      </c>
      <c r="D42" s="7">
        <v>2</v>
      </c>
      <c r="F42" s="7">
        <v>2</v>
      </c>
      <c r="H42"/>
      <c r="I42"/>
      <c r="J42"/>
      <c r="K42"/>
      <c r="L42" s="47"/>
      <c r="M42" s="47"/>
      <c r="N42" s="47"/>
      <c r="O42" s="25"/>
      <c r="P42" s="25"/>
      <c r="Q42" s="35"/>
      <c r="R42" s="25"/>
      <c r="S42" s="47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</row>
    <row r="43" spans="1:53" s="14" customFormat="1" ht="12.75">
      <c r="A43" s="14" t="s">
        <v>146</v>
      </c>
      <c r="B43" s="13">
        <f>SUM(B41:B41)*B11+B42</f>
        <v>7.5</v>
      </c>
      <c r="C43" s="10">
        <f>B43</f>
        <v>7.5</v>
      </c>
      <c r="D43" s="13">
        <f>D41*D11+D42</f>
        <v>3.5</v>
      </c>
      <c r="E43" s="10">
        <f>D43</f>
        <v>3.5</v>
      </c>
      <c r="F43" s="13">
        <f>SUM(F41:F41)*F11+F42</f>
        <v>3.6</v>
      </c>
      <c r="G43" s="10">
        <f>F43-1.8</f>
        <v>1.8</v>
      </c>
      <c r="H43"/>
      <c r="I43" s="47"/>
      <c r="J43" s="47"/>
      <c r="K43" s="47"/>
      <c r="L43" s="47"/>
      <c r="M43" s="47"/>
      <c r="N43" s="47"/>
      <c r="O43" s="25"/>
      <c r="P43" s="25"/>
      <c r="Q43" s="35"/>
      <c r="R43" s="25"/>
      <c r="S43" s="47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</row>
    <row r="44" spans="1:53" s="14" customFormat="1" ht="12.75">
      <c r="A44" s="14" t="s">
        <v>153</v>
      </c>
      <c r="B44" s="13">
        <f aca="true" t="shared" si="6" ref="B44:G44">B43*1.2</f>
        <v>9</v>
      </c>
      <c r="C44" s="10">
        <f t="shared" si="6"/>
        <v>9</v>
      </c>
      <c r="D44" s="13">
        <f t="shared" si="6"/>
        <v>4.2</v>
      </c>
      <c r="E44" s="10">
        <f t="shared" si="6"/>
        <v>4.2</v>
      </c>
      <c r="F44" s="13">
        <f t="shared" si="6"/>
        <v>4.32</v>
      </c>
      <c r="G44" s="10">
        <f t="shared" si="6"/>
        <v>2.16</v>
      </c>
      <c r="H44"/>
      <c r="I44" s="47"/>
      <c r="J44" s="47"/>
      <c r="K44" s="47"/>
      <c r="L44" s="47"/>
      <c r="M44" s="47"/>
      <c r="N44" s="47"/>
      <c r="O44" s="25"/>
      <c r="P44" s="25"/>
      <c r="Q44" s="35"/>
      <c r="R44" s="25"/>
      <c r="S44" s="47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</row>
    <row r="45" spans="1:53" s="87" customFormat="1" ht="15">
      <c r="A45" s="87" t="s">
        <v>147</v>
      </c>
      <c r="B45" s="106">
        <f aca="true" t="shared" si="7" ref="B45:G45">B40+B44</f>
        <v>16.32</v>
      </c>
      <c r="C45" s="105">
        <f t="shared" si="7"/>
        <v>9</v>
      </c>
      <c r="D45" s="106">
        <f t="shared" si="7"/>
        <v>14.16</v>
      </c>
      <c r="E45" s="105">
        <f t="shared" si="7"/>
        <v>14.16</v>
      </c>
      <c r="F45" s="106">
        <f t="shared" si="7"/>
        <v>15.959999999999999</v>
      </c>
      <c r="G45" s="105">
        <f t="shared" si="7"/>
        <v>9.239999999999998</v>
      </c>
      <c r="H45" s="88"/>
      <c r="I45" s="92"/>
      <c r="J45" s="92"/>
      <c r="K45" s="92"/>
      <c r="L45" s="92"/>
      <c r="M45" s="92"/>
      <c r="N45" s="89"/>
      <c r="O45" s="90"/>
      <c r="P45" s="90"/>
      <c r="Q45" s="91"/>
      <c r="R45" s="90"/>
      <c r="S45" s="89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</row>
    <row r="46" spans="1:53" s="87" customFormat="1" ht="15.75" thickBot="1">
      <c r="A46" s="118" t="s">
        <v>36</v>
      </c>
      <c r="B46" s="119">
        <f aca="true" t="shared" si="8" ref="B46:G46">ROUND(B34+B45,0)</f>
        <v>53</v>
      </c>
      <c r="C46" s="120">
        <f t="shared" si="8"/>
        <v>39</v>
      </c>
      <c r="D46" s="106">
        <f t="shared" si="8"/>
        <v>24</v>
      </c>
      <c r="E46" s="105">
        <f t="shared" si="8"/>
        <v>17</v>
      </c>
      <c r="F46" s="106">
        <f t="shared" si="8"/>
        <v>19</v>
      </c>
      <c r="G46" s="105">
        <f t="shared" si="8"/>
        <v>9</v>
      </c>
      <c r="H46" s="88"/>
      <c r="I46" s="92"/>
      <c r="J46" s="92"/>
      <c r="K46" s="92"/>
      <c r="L46" s="92"/>
      <c r="M46" s="92"/>
      <c r="N46" s="89"/>
      <c r="O46" s="90"/>
      <c r="P46" s="90"/>
      <c r="Q46" s="91"/>
      <c r="R46" s="90"/>
      <c r="S46" s="89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</row>
    <row r="47" spans="1:53" s="97" customFormat="1" ht="16.5" thickBot="1">
      <c r="A47" s="84" t="s">
        <v>113</v>
      </c>
      <c r="B47" s="104">
        <f>ROUND(B46+D46+F46,0)</f>
        <v>96</v>
      </c>
      <c r="C47" s="121">
        <f>ROUND(C46+E46+G46,0)</f>
        <v>65</v>
      </c>
      <c r="D47" s="83"/>
      <c r="E47" s="83"/>
      <c r="F47" s="83"/>
      <c r="G47" s="83"/>
      <c r="H47" s="93"/>
      <c r="I47" s="93"/>
      <c r="J47" s="93"/>
      <c r="K47" s="93"/>
      <c r="L47" s="94"/>
      <c r="M47" s="94"/>
      <c r="N47" s="94"/>
      <c r="O47" s="94"/>
      <c r="P47" s="94"/>
      <c r="Q47" s="95"/>
      <c r="R47" s="94"/>
      <c r="S47" s="94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</row>
    <row r="48" spans="12:42" ht="12.75">
      <c r="L48" s="25"/>
      <c r="M48" s="25"/>
      <c r="N48" s="25"/>
      <c r="O48" s="25"/>
      <c r="P48" s="25"/>
      <c r="Q48" s="35"/>
      <c r="R48" s="25"/>
      <c r="S48" s="25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</row>
    <row r="49" spans="1:42" ht="12.75">
      <c r="A49" s="1" t="s">
        <v>150</v>
      </c>
      <c r="B49" s="7">
        <f>D46+F46</f>
        <v>43</v>
      </c>
      <c r="C49" s="2">
        <f>E46+G46</f>
        <v>26</v>
      </c>
      <c r="L49" s="25"/>
      <c r="M49" s="25"/>
      <c r="N49" s="25"/>
      <c r="O49" s="25"/>
      <c r="P49" s="25"/>
      <c r="Q49" s="35"/>
      <c r="R49" s="25"/>
      <c r="S49" s="25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</row>
    <row r="50" spans="1:3" ht="12.75">
      <c r="A50" s="1" t="s">
        <v>151</v>
      </c>
      <c r="B50" s="7">
        <f>B46</f>
        <v>53</v>
      </c>
      <c r="C50" s="2">
        <f>C46</f>
        <v>39</v>
      </c>
    </row>
  </sheetData>
  <printOptions gridLines="1" horizontalCentered="1" verticalCentered="1"/>
  <pageMargins left="0" right="0" top="0.25" bottom="0.25" header="0" footer="0"/>
  <pageSetup fitToHeight="1" fitToWidth="1" horizontalDpi="600" verticalDpi="600" orientation="landscape" paperSize="9" scale="80" r:id="rId1"/>
  <headerFooter alignWithMargins="0">
    <oddFooter>&amp;CPrepared by Stefano Belforte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9"/>
  <sheetViews>
    <sheetView zoomScale="75" zoomScaleNormal="75" workbookViewId="0" topLeftCell="A1">
      <pane xSplit="3240" topLeftCell="F1" activePane="topRight" state="split"/>
      <selection pane="topLeft" activeCell="A12" sqref="A12:IV12"/>
      <selection pane="topRight" activeCell="I3" sqref="I3"/>
    </sheetView>
  </sheetViews>
  <sheetFormatPr defaultColWidth="9.00390625" defaultRowHeight="12.75"/>
  <cols>
    <col min="1" max="1" width="36.625" style="6" customWidth="1"/>
    <col min="2" max="2" width="6.75390625" style="7" customWidth="1"/>
    <col min="3" max="5" width="4.75390625" style="7" customWidth="1"/>
    <col min="6" max="6" width="5.875" style="7" customWidth="1"/>
    <col min="7" max="9" width="5.75390625" style="7" customWidth="1"/>
    <col min="10" max="10" width="11.125" style="6" customWidth="1"/>
    <col min="11" max="12" width="5.75390625" style="6" customWidth="1"/>
    <col min="13" max="14" width="5.75390625" style="7" customWidth="1"/>
    <col min="15" max="17" width="5.75390625" style="6" customWidth="1"/>
    <col min="18" max="18" width="7.625" style="1" customWidth="1"/>
    <col min="19" max="19" width="3.25390625" style="6" customWidth="1"/>
    <col min="20" max="21" width="5.75390625" style="7" customWidth="1"/>
    <col min="22" max="22" width="6.75390625" style="7" customWidth="1"/>
    <col min="23" max="23" width="5.75390625" style="7" customWidth="1"/>
    <col min="24" max="24" width="6.75390625" style="6" customWidth="1"/>
    <col min="25" max="25" width="9.125" style="7" customWidth="1"/>
    <col min="26" max="16384" width="9.125" style="6" customWidth="1"/>
  </cols>
  <sheetData>
    <row r="2" spans="1:19" ht="12.75">
      <c r="A2" s="12" t="s">
        <v>70</v>
      </c>
      <c r="B2" s="10"/>
      <c r="C2" s="14"/>
      <c r="D2" s="14"/>
      <c r="E2" s="14"/>
      <c r="F2" s="14"/>
      <c r="G2" s="10"/>
      <c r="H2" s="10"/>
      <c r="I2" s="10"/>
      <c r="J2" s="14"/>
      <c r="K2" s="14"/>
      <c r="L2" s="14"/>
      <c r="M2" s="13"/>
      <c r="N2" s="13"/>
      <c r="O2" s="13"/>
      <c r="P2" s="13"/>
      <c r="Q2" s="13"/>
      <c r="R2" s="14"/>
      <c r="S2" s="14"/>
    </row>
    <row r="3" spans="1:9" ht="12.75">
      <c r="A3" s="6" t="s">
        <v>0</v>
      </c>
      <c r="C3" s="2" t="e">
        <f>'ic'!#REF!</f>
        <v>#REF!</v>
      </c>
      <c r="D3" s="2" t="e">
        <f>'ic'!#REF!</f>
        <v>#REF!</v>
      </c>
      <c r="E3" s="2" t="str">
        <f>'ic'!B5</f>
        <v>XTF-C</v>
      </c>
      <c r="F3" s="2" t="e">
        <f>'ic'!#REF!</f>
        <v>#REF!</v>
      </c>
      <c r="G3" s="2" t="str">
        <f>'ic'!D5</f>
        <v>XTF-A</v>
      </c>
      <c r="H3" s="2" t="str">
        <f>'ic'!F5</f>
        <v>XTF-B</v>
      </c>
      <c r="I3" s="2" t="e">
        <f>'ic'!#REF!</f>
        <v>#REF!</v>
      </c>
    </row>
    <row r="4" spans="1:9" ht="12.75">
      <c r="A4" s="6" t="s">
        <v>66</v>
      </c>
      <c r="C4" s="7" t="e">
        <f>'ic'!#REF!</f>
        <v>#REF!</v>
      </c>
      <c r="D4" s="7" t="e">
        <f>'ic'!#REF!</f>
        <v>#REF!</v>
      </c>
      <c r="E4" s="7">
        <f>'ic'!B11</f>
        <v>7</v>
      </c>
      <c r="F4" s="7" t="e">
        <f>'ic'!#REF!</f>
        <v>#REF!</v>
      </c>
      <c r="G4" s="7">
        <f>'ic'!D11</f>
        <v>3</v>
      </c>
      <c r="H4" s="7">
        <f>'ic'!F11</f>
        <v>4</v>
      </c>
      <c r="I4" s="7" t="e">
        <f>'ic'!#REF!</f>
        <v>#REF!</v>
      </c>
    </row>
    <row r="5" spans="1:25" s="1" customFormat="1" ht="39.75" customHeight="1">
      <c r="A5" s="1" t="s">
        <v>5</v>
      </c>
      <c r="B5" s="2" t="s">
        <v>73</v>
      </c>
      <c r="C5" s="126" t="s">
        <v>8</v>
      </c>
      <c r="D5" s="127"/>
      <c r="E5" s="127"/>
      <c r="F5" s="127"/>
      <c r="G5" s="127"/>
      <c r="H5" s="127"/>
      <c r="I5" s="127"/>
      <c r="J5" s="2" t="s">
        <v>7</v>
      </c>
      <c r="K5" s="80" t="s">
        <v>30</v>
      </c>
      <c r="L5" s="68" t="s">
        <v>31</v>
      </c>
      <c r="M5" s="68" t="s">
        <v>12</v>
      </c>
      <c r="N5" s="80" t="s">
        <v>9</v>
      </c>
      <c r="O5" s="24" t="s">
        <v>33</v>
      </c>
      <c r="P5" s="24" t="s">
        <v>92</v>
      </c>
      <c r="Q5" s="24" t="s">
        <v>91</v>
      </c>
      <c r="R5" s="68" t="s">
        <v>6</v>
      </c>
      <c r="S5" s="81" t="s">
        <v>38</v>
      </c>
      <c r="T5" s="81" t="s">
        <v>32</v>
      </c>
      <c r="U5" s="15" t="s">
        <v>24</v>
      </c>
      <c r="V5" s="81" t="s">
        <v>25</v>
      </c>
      <c r="W5" s="15" t="s">
        <v>26</v>
      </c>
      <c r="X5" s="16" t="s">
        <v>28</v>
      </c>
      <c r="Y5" s="68"/>
    </row>
    <row r="6" spans="1:24" ht="12.75">
      <c r="A6" s="6" t="s">
        <v>87</v>
      </c>
      <c r="B6" s="7" t="s">
        <v>74</v>
      </c>
      <c r="C6" s="15">
        <f>'HB'!$B$4</f>
        <v>2</v>
      </c>
      <c r="D6" s="15"/>
      <c r="E6" s="15">
        <f>MRG!$B$4</f>
        <v>6</v>
      </c>
      <c r="F6" s="15"/>
      <c r="G6" s="15">
        <v>3</v>
      </c>
      <c r="H6" s="15">
        <v>6</v>
      </c>
      <c r="I6" s="15">
        <v>4</v>
      </c>
      <c r="J6" s="7" t="e">
        <f aca="true" t="shared" si="0" ref="J6:J17">SUMPRODUCT(C6:I6,C$4:I$4)</f>
        <v>#REF!</v>
      </c>
      <c r="K6" s="7">
        <v>30</v>
      </c>
      <c r="L6" s="7" t="e">
        <f aca="true" t="shared" si="1" ref="L6:L17">ROUND(J6*(1+K6/100),0)</f>
        <v>#REF!</v>
      </c>
      <c r="M6" s="15">
        <v>200</v>
      </c>
      <c r="N6" s="15">
        <v>2</v>
      </c>
      <c r="O6" s="7">
        <f aca="true" t="shared" si="2" ref="O6:O17">N6*1.2</f>
        <v>2.4</v>
      </c>
      <c r="P6" s="44">
        <f>M6*N6</f>
        <v>400</v>
      </c>
      <c r="Q6" s="44">
        <f>M6*O6</f>
        <v>480</v>
      </c>
      <c r="R6" s="67">
        <f aca="true" t="shared" si="3" ref="R6:R17">M6*O6/1000</f>
        <v>0.48</v>
      </c>
      <c r="S6" s="18">
        <v>1</v>
      </c>
      <c r="T6" s="15" t="s">
        <v>93</v>
      </c>
      <c r="U6" s="15" t="s">
        <v>74</v>
      </c>
      <c r="V6" s="15" t="s">
        <v>58</v>
      </c>
      <c r="W6" s="18" t="s">
        <v>69</v>
      </c>
      <c r="X6" s="73"/>
    </row>
    <row r="7" spans="1:24" ht="12.75">
      <c r="A7" s="6" t="s">
        <v>88</v>
      </c>
      <c r="B7" s="7" t="s">
        <v>80</v>
      </c>
      <c r="C7" s="7">
        <f>'HB'!$B$5</f>
        <v>5</v>
      </c>
      <c r="E7" s="7">
        <f>MRG!$B$5</f>
        <v>8</v>
      </c>
      <c r="F7" s="7">
        <f>SC!$B$4</f>
        <v>6</v>
      </c>
      <c r="G7" s="7">
        <v>5</v>
      </c>
      <c r="H7" s="7">
        <v>6</v>
      </c>
      <c r="I7" s="7">
        <v>5</v>
      </c>
      <c r="J7" s="7" t="e">
        <f t="shared" si="0"/>
        <v>#REF!</v>
      </c>
      <c r="K7" s="7">
        <v>30</v>
      </c>
      <c r="L7" s="7" t="e">
        <f t="shared" si="1"/>
        <v>#REF!</v>
      </c>
      <c r="M7" s="15">
        <v>440</v>
      </c>
      <c r="N7" s="7">
        <v>1.19</v>
      </c>
      <c r="O7" s="7">
        <f t="shared" si="2"/>
        <v>1.428</v>
      </c>
      <c r="P7" s="44">
        <f aca="true" t="shared" si="4" ref="P7:P17">M7*N7</f>
        <v>523.6</v>
      </c>
      <c r="Q7" s="44">
        <f aca="true" t="shared" si="5" ref="Q7:Q17">M7*O7</f>
        <v>628.3199999999999</v>
      </c>
      <c r="R7" s="67">
        <f t="shared" si="3"/>
        <v>0.62832</v>
      </c>
      <c r="S7" s="18">
        <v>1</v>
      </c>
      <c r="T7" s="7">
        <v>1.19</v>
      </c>
      <c r="U7" s="7" t="s">
        <v>41</v>
      </c>
      <c r="V7" s="7" t="s">
        <v>42</v>
      </c>
      <c r="W7" s="71" t="s">
        <v>69</v>
      </c>
      <c r="X7" s="4" t="s">
        <v>81</v>
      </c>
    </row>
    <row r="8" spans="1:24" ht="12.75" customHeight="1">
      <c r="A8" s="6" t="s">
        <v>40</v>
      </c>
      <c r="B8" s="7" t="s">
        <v>75</v>
      </c>
      <c r="C8" s="15"/>
      <c r="D8" s="7">
        <f>AMB!B4</f>
        <v>4</v>
      </c>
      <c r="G8" s="15"/>
      <c r="H8" s="15"/>
      <c r="I8" s="15"/>
      <c r="J8" s="7" t="e">
        <f t="shared" si="0"/>
        <v>#REF!</v>
      </c>
      <c r="K8" s="7">
        <v>30</v>
      </c>
      <c r="L8" s="7" t="e">
        <f t="shared" si="1"/>
        <v>#REF!</v>
      </c>
      <c r="M8" s="15">
        <v>200</v>
      </c>
      <c r="N8" s="15">
        <v>8.77</v>
      </c>
      <c r="O8" s="7">
        <f t="shared" si="2"/>
        <v>10.524</v>
      </c>
      <c r="P8" s="44">
        <f t="shared" si="4"/>
        <v>1754</v>
      </c>
      <c r="Q8" s="44">
        <f t="shared" si="5"/>
        <v>2104.7999999999997</v>
      </c>
      <c r="R8" s="67">
        <f t="shared" si="3"/>
        <v>2.1047999999999996</v>
      </c>
      <c r="S8" s="18">
        <v>1</v>
      </c>
      <c r="T8" s="15" t="s">
        <v>35</v>
      </c>
      <c r="U8" s="15" t="s">
        <v>102</v>
      </c>
      <c r="V8" s="15" t="s">
        <v>58</v>
      </c>
      <c r="W8" s="66">
        <v>34880</v>
      </c>
      <c r="X8" s="6" t="s">
        <v>103</v>
      </c>
    </row>
    <row r="9" spans="1:23" ht="12.75">
      <c r="A9" s="6" t="s">
        <v>71</v>
      </c>
      <c r="B9" s="7" t="s">
        <v>35</v>
      </c>
      <c r="C9" s="7">
        <f>'HB'!B6</f>
        <v>1</v>
      </c>
      <c r="J9" s="7" t="e">
        <f t="shared" si="0"/>
        <v>#REF!</v>
      </c>
      <c r="K9" s="7">
        <v>30</v>
      </c>
      <c r="L9" s="7" t="e">
        <f t="shared" si="1"/>
        <v>#REF!</v>
      </c>
      <c r="M9" s="7">
        <v>20</v>
      </c>
      <c r="N9" s="7">
        <v>3</v>
      </c>
      <c r="O9" s="7">
        <f t="shared" si="2"/>
        <v>3.5999999999999996</v>
      </c>
      <c r="P9" s="44">
        <f t="shared" si="4"/>
        <v>60</v>
      </c>
      <c r="Q9" s="44">
        <f t="shared" si="5"/>
        <v>72</v>
      </c>
      <c r="R9" s="67">
        <f t="shared" si="3"/>
        <v>0.072</v>
      </c>
      <c r="S9" s="18">
        <v>1</v>
      </c>
      <c r="T9" s="7">
        <v>3</v>
      </c>
      <c r="U9" s="7" t="s">
        <v>35</v>
      </c>
      <c r="V9" s="7" t="s">
        <v>51</v>
      </c>
      <c r="W9" s="71" t="s">
        <v>69</v>
      </c>
    </row>
    <row r="10" spans="1:24" ht="12.75">
      <c r="A10" s="6" t="s">
        <v>85</v>
      </c>
      <c r="B10" s="7" t="s">
        <v>74</v>
      </c>
      <c r="C10" s="7">
        <f>'HB'!B7</f>
        <v>2</v>
      </c>
      <c r="D10" s="7">
        <f>AMB!$B$5</f>
        <v>1</v>
      </c>
      <c r="E10" s="7">
        <f>MRG!$B$6</f>
        <v>4</v>
      </c>
      <c r="F10" s="7">
        <f>SC!$B$5</f>
        <v>3</v>
      </c>
      <c r="G10" s="7">
        <v>3</v>
      </c>
      <c r="H10" s="7">
        <v>6</v>
      </c>
      <c r="I10" s="7">
        <v>5</v>
      </c>
      <c r="J10" s="7" t="e">
        <f t="shared" si="0"/>
        <v>#REF!</v>
      </c>
      <c r="K10" s="7">
        <v>40</v>
      </c>
      <c r="L10" s="7" t="e">
        <f t="shared" si="1"/>
        <v>#REF!</v>
      </c>
      <c r="M10" s="7">
        <v>250</v>
      </c>
      <c r="N10" s="7">
        <v>0.68</v>
      </c>
      <c r="O10" s="7">
        <f t="shared" si="2"/>
        <v>0.8160000000000001</v>
      </c>
      <c r="P10" s="44">
        <f t="shared" si="4"/>
        <v>170</v>
      </c>
      <c r="Q10" s="44">
        <f t="shared" si="5"/>
        <v>204.00000000000003</v>
      </c>
      <c r="R10" s="67">
        <f t="shared" si="3"/>
        <v>0.20400000000000001</v>
      </c>
      <c r="S10" s="18">
        <v>1</v>
      </c>
      <c r="T10" s="7">
        <v>0.68</v>
      </c>
      <c r="U10" s="7" t="s">
        <v>41</v>
      </c>
      <c r="V10" s="7" t="s">
        <v>42</v>
      </c>
      <c r="W10" s="71" t="s">
        <v>69</v>
      </c>
      <c r="X10" s="6" t="s">
        <v>82</v>
      </c>
    </row>
    <row r="11" spans="1:24" ht="12.75">
      <c r="A11" s="6" t="s">
        <v>86</v>
      </c>
      <c r="B11" s="7" t="s">
        <v>74</v>
      </c>
      <c r="C11" s="7">
        <f>'HB'!B8</f>
        <v>2</v>
      </c>
      <c r="E11" s="7">
        <f>MRG!$B$7</f>
        <v>2</v>
      </c>
      <c r="F11" s="7">
        <f>SC!$B$6</f>
        <v>1</v>
      </c>
      <c r="G11" s="7">
        <v>3</v>
      </c>
      <c r="I11" s="7">
        <v>3</v>
      </c>
      <c r="J11" s="7" t="e">
        <f t="shared" si="0"/>
        <v>#REF!</v>
      </c>
      <c r="K11" s="7">
        <v>40</v>
      </c>
      <c r="L11" s="7" t="e">
        <f t="shared" si="1"/>
        <v>#REF!</v>
      </c>
      <c r="M11" s="7">
        <v>150</v>
      </c>
      <c r="N11" s="7">
        <v>0.5</v>
      </c>
      <c r="O11" s="7">
        <f t="shared" si="2"/>
        <v>0.6</v>
      </c>
      <c r="P11" s="44">
        <f t="shared" si="4"/>
        <v>75</v>
      </c>
      <c r="Q11" s="44">
        <f t="shared" si="5"/>
        <v>90</v>
      </c>
      <c r="R11" s="67">
        <f t="shared" si="3"/>
        <v>0.09</v>
      </c>
      <c r="S11" s="18">
        <v>1</v>
      </c>
      <c r="T11" s="7">
        <v>0.5</v>
      </c>
      <c r="U11" s="7" t="s">
        <v>41</v>
      </c>
      <c r="V11" s="7" t="s">
        <v>42</v>
      </c>
      <c r="W11" s="71" t="s">
        <v>69</v>
      </c>
      <c r="X11" s="6" t="s">
        <v>90</v>
      </c>
    </row>
    <row r="12" spans="1:24" ht="12.75">
      <c r="A12" s="6" t="s">
        <v>84</v>
      </c>
      <c r="B12" s="7" t="s">
        <v>74</v>
      </c>
      <c r="D12" s="7">
        <f>AMB!$B$5</f>
        <v>1</v>
      </c>
      <c r="E12" s="7">
        <f>MRG!B8</f>
        <v>1</v>
      </c>
      <c r="F12" s="7">
        <f>SC!B7</f>
        <v>1</v>
      </c>
      <c r="G12" s="7">
        <v>1</v>
      </c>
      <c r="I12" s="7">
        <v>1</v>
      </c>
      <c r="J12" s="7" t="e">
        <f t="shared" si="0"/>
        <v>#REF!</v>
      </c>
      <c r="K12" s="7">
        <v>40</v>
      </c>
      <c r="L12" s="7" t="e">
        <f t="shared" si="1"/>
        <v>#REF!</v>
      </c>
      <c r="M12" s="7">
        <v>100</v>
      </c>
      <c r="N12" s="7">
        <v>2.71</v>
      </c>
      <c r="O12" s="7">
        <f t="shared" si="2"/>
        <v>3.252</v>
      </c>
      <c r="P12" s="44">
        <f t="shared" si="4"/>
        <v>271</v>
      </c>
      <c r="Q12" s="44">
        <f t="shared" si="5"/>
        <v>325.2</v>
      </c>
      <c r="R12" s="67">
        <f t="shared" si="3"/>
        <v>0.3252</v>
      </c>
      <c r="S12" s="18">
        <v>1</v>
      </c>
      <c r="T12" s="15">
        <v>2.71</v>
      </c>
      <c r="U12" s="15" t="s">
        <v>41</v>
      </c>
      <c r="V12" s="15" t="s">
        <v>42</v>
      </c>
      <c r="W12" s="38" t="s">
        <v>39</v>
      </c>
      <c r="X12" s="6" t="s">
        <v>83</v>
      </c>
    </row>
    <row r="13" spans="1:23" ht="12.75">
      <c r="A13" s="6" t="s">
        <v>104</v>
      </c>
      <c r="B13" s="7" t="s">
        <v>77</v>
      </c>
      <c r="D13" s="7">
        <f>AMB!$B$6</f>
        <v>1</v>
      </c>
      <c r="E13" s="7">
        <f>MRG!B9</f>
        <v>1</v>
      </c>
      <c r="F13" s="7">
        <f>SC!B8</f>
        <v>1</v>
      </c>
      <c r="G13" s="7">
        <v>1</v>
      </c>
      <c r="I13" s="7">
        <v>1</v>
      </c>
      <c r="J13" s="7" t="e">
        <f t="shared" si="0"/>
        <v>#REF!</v>
      </c>
      <c r="K13" s="7">
        <v>40</v>
      </c>
      <c r="L13" s="7" t="e">
        <f t="shared" si="1"/>
        <v>#REF!</v>
      </c>
      <c r="M13" s="7">
        <v>100</v>
      </c>
      <c r="N13" s="7">
        <v>5.47</v>
      </c>
      <c r="O13" s="7">
        <f t="shared" si="2"/>
        <v>6.563999999999999</v>
      </c>
      <c r="P13" s="44">
        <f t="shared" si="4"/>
        <v>547</v>
      </c>
      <c r="Q13" s="44">
        <f t="shared" si="5"/>
        <v>656.3999999999999</v>
      </c>
      <c r="R13" s="67">
        <f t="shared" si="3"/>
        <v>0.6563999999999999</v>
      </c>
      <c r="S13" s="18">
        <v>1</v>
      </c>
      <c r="T13" s="7">
        <v>5.47</v>
      </c>
      <c r="U13" s="15" t="s">
        <v>105</v>
      </c>
      <c r="V13" s="15" t="s">
        <v>42</v>
      </c>
      <c r="W13" s="38" t="s">
        <v>39</v>
      </c>
    </row>
    <row r="14" spans="1:23" ht="12.75">
      <c r="A14" s="6" t="s">
        <v>89</v>
      </c>
      <c r="B14" s="7" t="s">
        <v>75</v>
      </c>
      <c r="D14" s="7">
        <f>AMB!$B$6</f>
        <v>1</v>
      </c>
      <c r="J14" s="7" t="e">
        <f t="shared" si="0"/>
        <v>#REF!</v>
      </c>
      <c r="K14" s="7">
        <v>40</v>
      </c>
      <c r="L14" s="7" t="e">
        <f>ROUND(J14*(1+K14/100),0)</f>
        <v>#REF!</v>
      </c>
      <c r="M14" s="7">
        <v>40</v>
      </c>
      <c r="N14" s="7">
        <v>7.52</v>
      </c>
      <c r="O14" s="7">
        <f t="shared" si="2"/>
        <v>9.024</v>
      </c>
      <c r="P14" s="44">
        <f t="shared" si="4"/>
        <v>300.79999999999995</v>
      </c>
      <c r="Q14" s="44">
        <f t="shared" si="5"/>
        <v>360.96</v>
      </c>
      <c r="R14" s="67">
        <f t="shared" si="3"/>
        <v>0.36096</v>
      </c>
      <c r="S14" s="18">
        <v>1</v>
      </c>
      <c r="T14" s="7">
        <v>7.52</v>
      </c>
      <c r="U14" s="15" t="s">
        <v>41</v>
      </c>
      <c r="V14" s="15" t="s">
        <v>42</v>
      </c>
      <c r="W14" s="38" t="s">
        <v>39</v>
      </c>
    </row>
    <row r="15" spans="1:23" ht="12.75">
      <c r="A15" s="6" t="s">
        <v>56</v>
      </c>
      <c r="B15" s="7" t="s">
        <v>76</v>
      </c>
      <c r="F15" s="7">
        <f>SC!B8</f>
        <v>1</v>
      </c>
      <c r="J15" s="7" t="e">
        <f t="shared" si="0"/>
        <v>#REF!</v>
      </c>
      <c r="K15" s="7">
        <v>20</v>
      </c>
      <c r="L15" s="7" t="e">
        <f>ROUND(J15*(1+K15/100),0)</f>
        <v>#REF!</v>
      </c>
      <c r="M15" s="7">
        <v>20</v>
      </c>
      <c r="N15" s="7">
        <v>20</v>
      </c>
      <c r="O15" s="7">
        <f t="shared" si="2"/>
        <v>24</v>
      </c>
      <c r="P15" s="44">
        <f>M15*N15</f>
        <v>400</v>
      </c>
      <c r="Q15" s="44">
        <f>M15*O15</f>
        <v>480</v>
      </c>
      <c r="R15" s="67">
        <f>M15*O15/1000</f>
        <v>0.48</v>
      </c>
      <c r="S15" s="18">
        <v>1</v>
      </c>
      <c r="T15" s="7" t="s">
        <v>57</v>
      </c>
      <c r="U15" s="7" t="s">
        <v>60</v>
      </c>
      <c r="V15" s="7" t="s">
        <v>58</v>
      </c>
      <c r="W15" s="74" t="s">
        <v>39</v>
      </c>
    </row>
    <row r="16" spans="1:24" ht="12.75">
      <c r="A16" s="6" t="s">
        <v>98</v>
      </c>
      <c r="B16" s="7" t="s">
        <v>76</v>
      </c>
      <c r="F16" s="7">
        <f>SC!B9</f>
        <v>1</v>
      </c>
      <c r="J16" s="7" t="e">
        <f t="shared" si="0"/>
        <v>#REF!</v>
      </c>
      <c r="K16" s="7">
        <v>20</v>
      </c>
      <c r="L16" s="7" t="e">
        <f t="shared" si="1"/>
        <v>#REF!</v>
      </c>
      <c r="M16" s="7">
        <v>20</v>
      </c>
      <c r="N16" s="79">
        <v>0.64</v>
      </c>
      <c r="O16" s="7">
        <f t="shared" si="2"/>
        <v>0.768</v>
      </c>
      <c r="P16" s="44">
        <f t="shared" si="4"/>
        <v>12.8</v>
      </c>
      <c r="Q16" s="44">
        <f t="shared" si="5"/>
        <v>15.36</v>
      </c>
      <c r="R16" s="67">
        <f t="shared" si="3"/>
        <v>0.015359999999999999</v>
      </c>
      <c r="S16" s="18">
        <v>1</v>
      </c>
      <c r="T16" s="77">
        <v>0.64</v>
      </c>
      <c r="U16" s="7" t="s">
        <v>41</v>
      </c>
      <c r="V16" s="7" t="s">
        <v>42</v>
      </c>
      <c r="W16" s="74" t="s">
        <v>39</v>
      </c>
      <c r="X16" s="6" t="s">
        <v>99</v>
      </c>
    </row>
    <row r="17" spans="1:23" ht="13.5" thickBot="1">
      <c r="A17" s="6" t="s">
        <v>59</v>
      </c>
      <c r="B17" s="7" t="s">
        <v>35</v>
      </c>
      <c r="F17" s="7">
        <f>SC!B10</f>
        <v>1</v>
      </c>
      <c r="J17" s="7" t="e">
        <f t="shared" si="0"/>
        <v>#REF!</v>
      </c>
      <c r="K17" s="7">
        <v>20</v>
      </c>
      <c r="L17" s="7" t="e">
        <f t="shared" si="1"/>
        <v>#REF!</v>
      </c>
      <c r="M17" s="7">
        <v>20</v>
      </c>
      <c r="N17" s="7">
        <v>3</v>
      </c>
      <c r="O17" s="7">
        <f t="shared" si="2"/>
        <v>3.5999999999999996</v>
      </c>
      <c r="P17" s="44">
        <f t="shared" si="4"/>
        <v>60</v>
      </c>
      <c r="Q17" s="44">
        <f t="shared" si="5"/>
        <v>72</v>
      </c>
      <c r="R17" s="67">
        <f t="shared" si="3"/>
        <v>0.072</v>
      </c>
      <c r="S17" s="18">
        <v>1</v>
      </c>
      <c r="T17" s="7">
        <v>3</v>
      </c>
      <c r="U17" s="7" t="s">
        <v>35</v>
      </c>
      <c r="V17" s="7" t="s">
        <v>51</v>
      </c>
      <c r="W17" s="71" t="s">
        <v>69</v>
      </c>
    </row>
    <row r="18" spans="1:24" ht="13.5" thickBot="1">
      <c r="A18" s="75" t="s">
        <v>50</v>
      </c>
      <c r="B18" s="76"/>
      <c r="C18" s="75"/>
      <c r="D18" s="75"/>
      <c r="E18" s="75"/>
      <c r="F18" s="75"/>
      <c r="G18" s="75"/>
      <c r="H18" s="75"/>
      <c r="I18" s="75"/>
      <c r="J18" s="75"/>
      <c r="K18" s="75"/>
      <c r="L18" s="70"/>
      <c r="M18" s="76"/>
      <c r="N18" s="75"/>
      <c r="O18" s="76"/>
      <c r="P18" s="76"/>
      <c r="Q18" s="78"/>
      <c r="R18" s="64">
        <f>SUM(R6:R17)</f>
        <v>5.489040000000001</v>
      </c>
      <c r="S18" s="75"/>
      <c r="T18" s="75"/>
      <c r="U18" s="75"/>
      <c r="V18" s="75"/>
      <c r="W18" s="75"/>
      <c r="X18" s="75"/>
    </row>
    <row r="19" spans="16:17" ht="12.75">
      <c r="P19" s="77"/>
      <c r="Q19" s="77"/>
    </row>
  </sheetData>
  <mergeCells count="1">
    <mergeCell ref="C5:I5"/>
  </mergeCells>
  <printOptions gridLines="1"/>
  <pageMargins left="0.5" right="0.5" top="0.75" bottom="0.75" header="0.5" footer="0.5"/>
  <pageSetup fitToHeight="1" fitToWidth="1" horizontalDpi="600" verticalDpi="600" orientation="landscape" scale="70" r:id="rId1"/>
  <headerFooter alignWithMargins="0">
    <oddFooter>&amp;CPrepared by Stefano Belforte &amp;D&amp;RPage &amp;P</oddFooter>
  </headerFooter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"/>
  <sheetViews>
    <sheetView workbookViewId="0" topLeftCell="A1">
      <selection activeCell="D6" sqref="D6"/>
    </sheetView>
  </sheetViews>
  <sheetFormatPr defaultColWidth="9.00390625" defaultRowHeight="12.75"/>
  <cols>
    <col min="1" max="1" width="36.625" style="0" customWidth="1"/>
    <col min="2" max="11" width="5.75390625" style="0" customWidth="1"/>
    <col min="12" max="12" width="5.75390625" style="60" customWidth="1"/>
    <col min="13" max="13" width="6.75390625" style="0" customWidth="1"/>
    <col min="14" max="14" width="5.75390625" style="47" customWidth="1"/>
    <col min="15" max="15" width="6.75390625" style="47" customWidth="1"/>
  </cols>
  <sheetData>
    <row r="2" spans="1:12" s="46" customFormat="1" ht="12.75">
      <c r="A2" s="46" t="s">
        <v>78</v>
      </c>
      <c r="B2" s="46" t="s">
        <v>54</v>
      </c>
      <c r="F2" s="49" t="e">
        <f>'ic'!#REF!</f>
        <v>#REF!</v>
      </c>
      <c r="L2" s="48"/>
    </row>
    <row r="3" spans="1:14" s="40" customFormat="1" ht="36" customHeight="1">
      <c r="A3" s="41" t="s">
        <v>5</v>
      </c>
      <c r="B3" s="52" t="s">
        <v>8</v>
      </c>
      <c r="C3" s="53" t="s">
        <v>7</v>
      </c>
      <c r="D3" s="54" t="s">
        <v>30</v>
      </c>
      <c r="E3" s="55" t="s">
        <v>31</v>
      </c>
      <c r="F3" s="55" t="s">
        <v>12</v>
      </c>
      <c r="G3" s="54" t="s">
        <v>9</v>
      </c>
      <c r="H3" s="56" t="s">
        <v>33</v>
      </c>
      <c r="I3" s="55" t="s">
        <v>6</v>
      </c>
      <c r="J3" s="57" t="s">
        <v>38</v>
      </c>
      <c r="K3" s="57" t="s">
        <v>32</v>
      </c>
      <c r="L3" s="58" t="s">
        <v>24</v>
      </c>
      <c r="M3" s="57" t="s">
        <v>49</v>
      </c>
      <c r="N3" s="39" t="s">
        <v>26</v>
      </c>
    </row>
    <row r="4" spans="1:17" s="6" customFormat="1" ht="12.75" customHeight="1">
      <c r="A4" s="6" t="str">
        <f>Small!$A$6</f>
        <v>SN74AS32D quad-OR gate SOIC14 150mil</v>
      </c>
      <c r="B4" s="15">
        <v>2</v>
      </c>
      <c r="C4" s="7" t="e">
        <f>B4*$F$2</f>
        <v>#REF!</v>
      </c>
      <c r="D4" s="7">
        <v>20</v>
      </c>
      <c r="E4" s="7" t="e">
        <f>ROUND(C4*(1+D4/100),0)</f>
        <v>#REF!</v>
      </c>
      <c r="F4" s="15">
        <v>40</v>
      </c>
      <c r="G4" s="15">
        <f>Small!N6</f>
        <v>2</v>
      </c>
      <c r="H4" s="7">
        <f aca="true" t="shared" si="0" ref="H4:H9">G4*1.2</f>
        <v>2.4</v>
      </c>
      <c r="I4" s="42">
        <f>F4*H4/1000</f>
        <v>0.096</v>
      </c>
      <c r="J4" s="15">
        <f>Small!S6</f>
        <v>1</v>
      </c>
      <c r="K4" s="15" t="str">
        <f>Small!T6</f>
        <v>0.46$</v>
      </c>
      <c r="L4" s="15" t="str">
        <f>Small!U6</f>
        <v>TI</v>
      </c>
      <c r="M4" s="15" t="str">
        <f>Small!V6</f>
        <v>web</v>
      </c>
      <c r="N4" s="38" t="str">
        <f>Small!W6</f>
        <v>11/98</v>
      </c>
      <c r="O4" s="50"/>
      <c r="P4"/>
      <c r="Q4"/>
    </row>
    <row r="5" spans="1:17" s="6" customFormat="1" ht="12.75" customHeight="1">
      <c r="A5" s="6" t="str">
        <f>Small!$A$7</f>
        <v>CD74HCT123M dual monost SOIC16 150mil </v>
      </c>
      <c r="B5" s="15">
        <v>5</v>
      </c>
      <c r="C5" s="7" t="e">
        <f>B5*$F$2</f>
        <v>#REF!</v>
      </c>
      <c r="D5" s="7">
        <v>20</v>
      </c>
      <c r="E5" s="7" t="e">
        <f>ROUND(C5*(1+D5/100),0)</f>
        <v>#REF!</v>
      </c>
      <c r="F5" s="15">
        <v>100</v>
      </c>
      <c r="G5" s="15">
        <f>Small!N7</f>
        <v>1.19</v>
      </c>
      <c r="H5" s="7">
        <f t="shared" si="0"/>
        <v>1.428</v>
      </c>
      <c r="I5" s="42">
        <f>F5*H5/1000</f>
        <v>0.14279999999999998</v>
      </c>
      <c r="J5" s="15">
        <f>Small!S7</f>
        <v>1</v>
      </c>
      <c r="K5" s="15">
        <f>Small!T7</f>
        <v>1.19</v>
      </c>
      <c r="L5" s="15" t="str">
        <f>Small!U7</f>
        <v>R.S.</v>
      </c>
      <c r="M5" s="15" t="str">
        <f>Small!V7</f>
        <v>catalogo</v>
      </c>
      <c r="N5" s="38" t="str">
        <f>Small!W7</f>
        <v>11/98</v>
      </c>
      <c r="O5" s="50"/>
      <c r="P5"/>
      <c r="Q5"/>
    </row>
    <row r="6" spans="1:17" s="6" customFormat="1" ht="12.75" customHeight="1">
      <c r="A6" s="6" t="str">
        <f>Small!$A$9</f>
        <v>TL7705ACD reset chip SOIC8</v>
      </c>
      <c r="B6" s="15">
        <v>1</v>
      </c>
      <c r="C6" s="7" t="e">
        <f>B6*$F$2</f>
        <v>#REF!</v>
      </c>
      <c r="D6" s="7">
        <v>20</v>
      </c>
      <c r="E6" s="7" t="e">
        <f>ROUND(C6*(1+D6/100),0)</f>
        <v>#REF!</v>
      </c>
      <c r="F6" s="15">
        <v>20</v>
      </c>
      <c r="G6" s="15">
        <f>Small!$N$9</f>
        <v>3</v>
      </c>
      <c r="H6" s="7">
        <f t="shared" si="0"/>
        <v>3.5999999999999996</v>
      </c>
      <c r="I6" s="42">
        <f>F6*H6/1000</f>
        <v>0.072</v>
      </c>
      <c r="J6" s="15">
        <f>Small!S9</f>
        <v>1</v>
      </c>
      <c r="K6" s="15">
        <f>Small!T9</f>
        <v>3</v>
      </c>
      <c r="L6" s="15" t="str">
        <f>Small!U9</f>
        <v>?</v>
      </c>
      <c r="M6" s="15" t="str">
        <f>Small!V9</f>
        <v>guess</v>
      </c>
      <c r="N6" s="38" t="str">
        <f>Small!W9</f>
        <v>11/98</v>
      </c>
      <c r="O6" s="50"/>
      <c r="P6"/>
      <c r="Q6"/>
    </row>
    <row r="7" spans="1:17" s="6" customFormat="1" ht="12.75" customHeight="1">
      <c r="A7" s="6" t="str">
        <f>Small!A10</f>
        <v>SN74ALS08D quad-AND gate SOIC14 150mil</v>
      </c>
      <c r="B7" s="15">
        <v>2</v>
      </c>
      <c r="C7" s="7" t="e">
        <f>B7*$F$2</f>
        <v>#REF!</v>
      </c>
      <c r="D7" s="7">
        <v>20</v>
      </c>
      <c r="E7" s="7" t="e">
        <f>ROUND(C7*(1+D7/100),0)</f>
        <v>#REF!</v>
      </c>
      <c r="F7" s="15">
        <v>40</v>
      </c>
      <c r="G7" s="15">
        <f>Small!N10</f>
        <v>0.68</v>
      </c>
      <c r="H7" s="7">
        <f t="shared" si="0"/>
        <v>0.8160000000000001</v>
      </c>
      <c r="I7" s="42">
        <f>F7*H7/1000</f>
        <v>0.03264</v>
      </c>
      <c r="J7" s="15">
        <f>Small!S10</f>
        <v>1</v>
      </c>
      <c r="K7" s="15">
        <f>Small!T10</f>
        <v>0.68</v>
      </c>
      <c r="L7" s="15" t="str">
        <f>Small!U10</f>
        <v>R.S.</v>
      </c>
      <c r="M7" s="15" t="str">
        <f>Small!V10</f>
        <v>catalogo</v>
      </c>
      <c r="N7" s="38" t="str">
        <f>Small!W10</f>
        <v>11/98</v>
      </c>
      <c r="P7"/>
      <c r="Q7"/>
    </row>
    <row r="8" spans="1:17" s="6" customFormat="1" ht="12.75" customHeight="1">
      <c r="A8" s="6" t="str">
        <f>Small!A11</f>
        <v>SN74ALS02D quad-NOR gate SOIC14 150mil</v>
      </c>
      <c r="B8" s="15">
        <v>2</v>
      </c>
      <c r="C8" s="7" t="e">
        <f>B8*$F$2</f>
        <v>#REF!</v>
      </c>
      <c r="D8" s="7">
        <v>20</v>
      </c>
      <c r="E8" s="7" t="e">
        <f>ROUND(C8*(1+D8/100),0)</f>
        <v>#REF!</v>
      </c>
      <c r="F8" s="15">
        <v>20</v>
      </c>
      <c r="G8" s="15">
        <f>Small!N11</f>
        <v>0.5</v>
      </c>
      <c r="H8" s="7">
        <f t="shared" si="0"/>
        <v>0.6</v>
      </c>
      <c r="I8" s="42">
        <f>F8*H8/1000</f>
        <v>0.012</v>
      </c>
      <c r="J8" s="15">
        <f>Small!S11</f>
        <v>1</v>
      </c>
      <c r="K8" s="15">
        <f>Small!T11</f>
        <v>0.5</v>
      </c>
      <c r="L8" s="15" t="str">
        <f>Small!U11</f>
        <v>R.S.</v>
      </c>
      <c r="M8" s="15" t="str">
        <f>Small!V11</f>
        <v>catalogo</v>
      </c>
      <c r="N8" s="38" t="str">
        <f>Small!W11</f>
        <v>11/98</v>
      </c>
      <c r="P8"/>
      <c r="Q8"/>
    </row>
    <row r="9" spans="1:12" s="51" customFormat="1" ht="13.5" thickBot="1">
      <c r="A9" s="51" t="s">
        <v>48</v>
      </c>
      <c r="G9" s="45">
        <f>SUMPRODUCT(G4:G8,B4:B8)</f>
        <v>15.309999999999999</v>
      </c>
      <c r="H9" s="45">
        <f t="shared" si="0"/>
        <v>18.371999999999996</v>
      </c>
      <c r="I9" s="63"/>
      <c r="L9" s="59"/>
    </row>
    <row r="10" spans="1:12" s="61" customFormat="1" ht="13.5" thickBot="1">
      <c r="A10" s="61" t="s">
        <v>50</v>
      </c>
      <c r="I10" s="64">
        <f>SUM(I4:I8)</f>
        <v>0.35544</v>
      </c>
      <c r="L10" s="62"/>
    </row>
  </sheetData>
  <printOptions gridLines="1"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Footer>&amp;CPrepared by Stefano Belforte 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"/>
  <sheetViews>
    <sheetView workbookViewId="0" topLeftCell="A1">
      <selection activeCell="G11" sqref="G11"/>
    </sheetView>
  </sheetViews>
  <sheetFormatPr defaultColWidth="9.00390625" defaultRowHeight="12.75"/>
  <cols>
    <col min="1" max="1" width="36.625" style="0" customWidth="1"/>
    <col min="2" max="11" width="5.75390625" style="0" customWidth="1"/>
    <col min="12" max="12" width="5.75390625" style="60" customWidth="1"/>
    <col min="13" max="13" width="6.75390625" style="0" customWidth="1"/>
    <col min="14" max="14" width="5.75390625" style="47" customWidth="1"/>
    <col min="15" max="15" width="6.75390625" style="47" customWidth="1"/>
  </cols>
  <sheetData>
    <row r="2" spans="1:12" s="46" customFormat="1" ht="12.75">
      <c r="A2" s="46" t="s">
        <v>46</v>
      </c>
      <c r="B2" s="46" t="s">
        <v>47</v>
      </c>
      <c r="F2" s="49" t="e">
        <f>'ic'!#REF!</f>
        <v>#REF!</v>
      </c>
      <c r="L2" s="48"/>
    </row>
    <row r="3" spans="1:14" s="40" customFormat="1" ht="36" customHeight="1">
      <c r="A3" s="41" t="s">
        <v>5</v>
      </c>
      <c r="B3" s="52" t="s">
        <v>8</v>
      </c>
      <c r="C3" s="53" t="s">
        <v>7</v>
      </c>
      <c r="D3" s="54" t="s">
        <v>30</v>
      </c>
      <c r="E3" s="55" t="s">
        <v>31</v>
      </c>
      <c r="F3" s="55" t="s">
        <v>12</v>
      </c>
      <c r="G3" s="54" t="s">
        <v>9</v>
      </c>
      <c r="H3" s="56" t="s">
        <v>33</v>
      </c>
      <c r="I3" s="55" t="s">
        <v>6</v>
      </c>
      <c r="J3" s="57" t="s">
        <v>38</v>
      </c>
      <c r="K3" s="57" t="s">
        <v>32</v>
      </c>
      <c r="L3" s="58" t="s">
        <v>24</v>
      </c>
      <c r="M3" s="57" t="s">
        <v>49</v>
      </c>
      <c r="N3" s="39" t="s">
        <v>26</v>
      </c>
    </row>
    <row r="4" spans="1:17" s="6" customFormat="1" ht="12.75" customHeight="1">
      <c r="A4" s="6" t="s">
        <v>40</v>
      </c>
      <c r="B4" s="15">
        <v>4</v>
      </c>
      <c r="C4" s="7" t="e">
        <f aca="true" t="shared" si="0" ref="C4:C9">B4*$F$2</f>
        <v>#REF!</v>
      </c>
      <c r="D4" s="7">
        <v>20</v>
      </c>
      <c r="E4" s="7" t="e">
        <f aca="true" t="shared" si="1" ref="E4:E9">ROUND(C4*(1+D4/100),0)</f>
        <v>#REF!</v>
      </c>
      <c r="F4" s="15">
        <v>200</v>
      </c>
      <c r="G4" s="15">
        <f>Small!N8</f>
        <v>8.77</v>
      </c>
      <c r="H4" s="7">
        <f aca="true" t="shared" si="2" ref="H4:H10">G4*1.2</f>
        <v>10.524</v>
      </c>
      <c r="I4" s="42">
        <f aca="true" t="shared" si="3" ref="I4:I9">F4*H4/1000</f>
        <v>2.1047999999999996</v>
      </c>
      <c r="J4" s="15">
        <f>Small!S8</f>
        <v>1</v>
      </c>
      <c r="K4" s="15" t="str">
        <f>Small!T8</f>
        <v>?</v>
      </c>
      <c r="L4" s="15" t="str">
        <f>Small!U8</f>
        <v>Arrow</v>
      </c>
      <c r="M4" s="15" t="str">
        <f>Small!V8</f>
        <v>web</v>
      </c>
      <c r="N4" s="15">
        <f>Small!W8</f>
        <v>34880</v>
      </c>
      <c r="O4" s="50"/>
      <c r="P4"/>
      <c r="Q4"/>
    </row>
    <row r="5" spans="1:17" s="6" customFormat="1" ht="12.75" customHeight="1">
      <c r="A5" s="6" t="s">
        <v>45</v>
      </c>
      <c r="B5" s="15">
        <v>1</v>
      </c>
      <c r="C5" s="7" t="e">
        <f>B5*$F$2</f>
        <v>#REF!</v>
      </c>
      <c r="D5" s="7">
        <v>20</v>
      </c>
      <c r="E5" s="7" t="e">
        <f>ROUND(C5*(1+D5/100),0)</f>
        <v>#REF!</v>
      </c>
      <c r="F5" s="15">
        <v>40</v>
      </c>
      <c r="G5" s="15">
        <f>Small!N12</f>
        <v>2.71</v>
      </c>
      <c r="H5" s="7">
        <f>G5*1.2</f>
        <v>3.252</v>
      </c>
      <c r="I5" s="42">
        <f>F5*H5/1000</f>
        <v>0.13007999999999997</v>
      </c>
      <c r="J5" s="15">
        <f>Small!S12</f>
        <v>1</v>
      </c>
      <c r="K5" s="15">
        <f>Small!T12</f>
        <v>2.71</v>
      </c>
      <c r="L5" s="15" t="str">
        <f>Small!U12</f>
        <v>R.S.</v>
      </c>
      <c r="M5" s="15" t="str">
        <f>Small!V12</f>
        <v>catalogo</v>
      </c>
      <c r="N5" s="38" t="str">
        <f>Small!W12</f>
        <v>9/98</v>
      </c>
      <c r="O5" s="50"/>
      <c r="P5"/>
      <c r="Q5"/>
    </row>
    <row r="6" spans="1:17" s="6" customFormat="1" ht="12.75" customHeight="1">
      <c r="A6" s="6" t="s">
        <v>44</v>
      </c>
      <c r="B6" s="15">
        <v>1</v>
      </c>
      <c r="C6" s="7" t="e">
        <f t="shared" si="0"/>
        <v>#REF!</v>
      </c>
      <c r="D6" s="7">
        <v>20</v>
      </c>
      <c r="E6" s="7" t="e">
        <f t="shared" si="1"/>
        <v>#REF!</v>
      </c>
      <c r="F6" s="15">
        <v>40</v>
      </c>
      <c r="G6" s="15">
        <f>Small!N13</f>
        <v>5.47</v>
      </c>
      <c r="H6" s="7">
        <f t="shared" si="2"/>
        <v>6.563999999999999</v>
      </c>
      <c r="I6" s="42">
        <f t="shared" si="3"/>
        <v>0.26255999999999996</v>
      </c>
      <c r="J6" s="15">
        <f>Small!S13</f>
        <v>1</v>
      </c>
      <c r="K6" s="15">
        <f>Small!T13</f>
        <v>5.47</v>
      </c>
      <c r="L6" s="15" t="str">
        <f>Small!U13</f>
        <v>AVNET</v>
      </c>
      <c r="M6" s="15" t="str">
        <f>Small!V13</f>
        <v>catalogo</v>
      </c>
      <c r="N6" s="38" t="str">
        <f>Small!W13</f>
        <v>9/98</v>
      </c>
      <c r="O6" s="50"/>
      <c r="P6"/>
      <c r="Q6"/>
    </row>
    <row r="7" spans="1:17" s="6" customFormat="1" ht="12.75" customHeight="1">
      <c r="A7" s="6" t="s">
        <v>43</v>
      </c>
      <c r="B7" s="15">
        <v>1</v>
      </c>
      <c r="C7" s="7" t="e">
        <f t="shared" si="0"/>
        <v>#REF!</v>
      </c>
      <c r="D7" s="7">
        <v>20</v>
      </c>
      <c r="E7" s="7" t="e">
        <f t="shared" si="1"/>
        <v>#REF!</v>
      </c>
      <c r="F7" s="15">
        <v>40</v>
      </c>
      <c r="G7" s="15">
        <f>Small!$N$14</f>
        <v>7.52</v>
      </c>
      <c r="H7" s="7">
        <f t="shared" si="2"/>
        <v>9.024</v>
      </c>
      <c r="I7" s="42">
        <f t="shared" si="3"/>
        <v>0.36096</v>
      </c>
      <c r="J7" s="15">
        <f>Small!S14</f>
        <v>1</v>
      </c>
      <c r="K7" s="15">
        <f>Small!T14</f>
        <v>7.52</v>
      </c>
      <c r="L7" s="15" t="str">
        <f>Small!U14</f>
        <v>R.S.</v>
      </c>
      <c r="M7" s="15" t="str">
        <f>Small!V14</f>
        <v>catalogo</v>
      </c>
      <c r="N7" s="38" t="str">
        <f>Small!W14</f>
        <v>9/98</v>
      </c>
      <c r="O7" s="50"/>
      <c r="P7"/>
      <c r="Q7"/>
    </row>
    <row r="8" spans="1:17" s="6" customFormat="1" ht="12.75" customHeight="1">
      <c r="A8" s="6" t="s">
        <v>52</v>
      </c>
      <c r="B8" s="15">
        <v>1</v>
      </c>
      <c r="C8" s="7" t="e">
        <f t="shared" si="0"/>
        <v>#REF!</v>
      </c>
      <c r="D8" s="7">
        <v>20</v>
      </c>
      <c r="E8" s="7" t="e">
        <f>ROUND(C8*(1+D8/100),0)</f>
        <v>#REF!</v>
      </c>
      <c r="F8" s="15">
        <v>40</v>
      </c>
      <c r="G8" s="15">
        <f>Small!$N$10</f>
        <v>0.68</v>
      </c>
      <c r="H8" s="7">
        <f t="shared" si="2"/>
        <v>0.8160000000000001</v>
      </c>
      <c r="I8" s="42">
        <f>F8*H8/1000</f>
        <v>0.03264</v>
      </c>
      <c r="J8" s="15">
        <f>Small!S9</f>
        <v>1</v>
      </c>
      <c r="K8" s="15">
        <f>Small!T9</f>
        <v>3</v>
      </c>
      <c r="L8" s="15" t="str">
        <f>Small!U9</f>
        <v>?</v>
      </c>
      <c r="M8" s="15" t="str">
        <f>Small!V9</f>
        <v>guess</v>
      </c>
      <c r="N8" s="38" t="str">
        <f>Small!W9</f>
        <v>11/98</v>
      </c>
      <c r="P8"/>
      <c r="Q8"/>
    </row>
    <row r="9" spans="1:17" s="6" customFormat="1" ht="12.75" customHeight="1">
      <c r="A9" s="6" t="s">
        <v>97</v>
      </c>
      <c r="B9" s="15">
        <v>1</v>
      </c>
      <c r="C9" s="7" t="e">
        <f t="shared" si="0"/>
        <v>#REF!</v>
      </c>
      <c r="D9" s="7">
        <v>20</v>
      </c>
      <c r="E9" s="7" t="e">
        <f t="shared" si="1"/>
        <v>#REF!</v>
      </c>
      <c r="F9" s="15">
        <v>50</v>
      </c>
      <c r="G9" s="15">
        <f>Small!$N$16</f>
        <v>0.64</v>
      </c>
      <c r="H9" s="7">
        <f t="shared" si="2"/>
        <v>0.768</v>
      </c>
      <c r="I9" s="42">
        <f t="shared" si="3"/>
        <v>0.0384</v>
      </c>
      <c r="J9" s="15">
        <f>Small!S10</f>
        <v>1</v>
      </c>
      <c r="K9" s="15">
        <f>Small!T16</f>
        <v>0.64</v>
      </c>
      <c r="L9" s="15" t="str">
        <f>Small!U10</f>
        <v>R.S.</v>
      </c>
      <c r="M9" s="15" t="s">
        <v>51</v>
      </c>
      <c r="N9" s="38" t="str">
        <f>Small!W10</f>
        <v>11/98</v>
      </c>
      <c r="P9"/>
      <c r="Q9"/>
    </row>
    <row r="10" spans="1:12" s="51" customFormat="1" ht="13.5" thickBot="1">
      <c r="A10" s="51" t="s">
        <v>48</v>
      </c>
      <c r="G10" s="45">
        <f>SUMPRODUCT(G4:G9,B4:B9)</f>
        <v>52.1</v>
      </c>
      <c r="H10" s="45">
        <f t="shared" si="2"/>
        <v>62.519999999999996</v>
      </c>
      <c r="I10" s="63"/>
      <c r="L10" s="59"/>
    </row>
    <row r="11" spans="1:12" s="61" customFormat="1" ht="13.5" thickBot="1">
      <c r="A11" s="61" t="s">
        <v>50</v>
      </c>
      <c r="I11" s="64">
        <f>SUM(I4:I9)</f>
        <v>2.9294399999999996</v>
      </c>
      <c r="L11" s="62"/>
    </row>
  </sheetData>
  <printOptions gridLines="1"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Footer>&amp;CPrepared by Stefano Belforte &amp;D&amp;RPage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workbookViewId="0" topLeftCell="A1">
      <selection activeCell="A9" sqref="A9"/>
    </sheetView>
  </sheetViews>
  <sheetFormatPr defaultColWidth="9.00390625" defaultRowHeight="12.75"/>
  <cols>
    <col min="1" max="1" width="41.375" style="0" customWidth="1"/>
    <col min="2" max="12" width="5.75390625" style="0" customWidth="1"/>
    <col min="13" max="13" width="6.75390625" style="0" customWidth="1"/>
    <col min="14" max="14" width="5.75390625" style="0" customWidth="1"/>
  </cols>
  <sheetData>
    <row r="1" spans="12:14" ht="12.75">
      <c r="L1" s="60"/>
      <c r="N1" s="47"/>
    </row>
    <row r="2" spans="1:14" ht="12.75">
      <c r="A2" s="46" t="s">
        <v>55</v>
      </c>
      <c r="B2" s="46" t="s">
        <v>53</v>
      </c>
      <c r="C2" s="46"/>
      <c r="D2" s="46"/>
      <c r="E2" s="46"/>
      <c r="F2" s="49" t="e">
        <f>'ic'!#REF!</f>
        <v>#REF!</v>
      </c>
      <c r="G2" s="46"/>
      <c r="H2" s="46"/>
      <c r="I2" s="46"/>
      <c r="J2" s="46"/>
      <c r="K2" s="46"/>
      <c r="L2" s="48"/>
      <c r="M2" s="46"/>
      <c r="N2" s="46"/>
    </row>
    <row r="3" spans="1:14" ht="63.75">
      <c r="A3" s="41" t="s">
        <v>5</v>
      </c>
      <c r="B3" s="52" t="s">
        <v>8</v>
      </c>
      <c r="C3" s="53" t="s">
        <v>7</v>
      </c>
      <c r="D3" s="54" t="s">
        <v>30</v>
      </c>
      <c r="E3" s="55" t="s">
        <v>31</v>
      </c>
      <c r="F3" s="55" t="s">
        <v>12</v>
      </c>
      <c r="G3" s="54" t="s">
        <v>9</v>
      </c>
      <c r="H3" s="56" t="s">
        <v>33</v>
      </c>
      <c r="I3" s="55" t="s">
        <v>6</v>
      </c>
      <c r="J3" s="57" t="s">
        <v>38</v>
      </c>
      <c r="K3" s="57" t="s">
        <v>32</v>
      </c>
      <c r="L3" s="58" t="s">
        <v>24</v>
      </c>
      <c r="M3" s="57" t="s">
        <v>49</v>
      </c>
      <c r="N3" s="39" t="s">
        <v>26</v>
      </c>
    </row>
    <row r="4" spans="1:14" ht="12.75">
      <c r="A4" s="6" t="str">
        <f>Small!$A$7</f>
        <v>CD74HCT123M dual monost SOIC16 150mil </v>
      </c>
      <c r="B4" s="15">
        <v>6</v>
      </c>
      <c r="C4" s="7" t="e">
        <f aca="true" t="shared" si="0" ref="C4:C10">B4*$F$2</f>
        <v>#REF!</v>
      </c>
      <c r="D4" s="7">
        <v>20</v>
      </c>
      <c r="E4" s="7" t="e">
        <f aca="true" t="shared" si="1" ref="E4:E10">ROUND(C4*(1+D4/100),0)</f>
        <v>#REF!</v>
      </c>
      <c r="F4" s="15">
        <v>100</v>
      </c>
      <c r="G4" s="15">
        <f>Small!$N$7</f>
        <v>1.19</v>
      </c>
      <c r="H4" s="7">
        <f aca="true" t="shared" si="2" ref="H4:H11">G4*1.2</f>
        <v>1.428</v>
      </c>
      <c r="I4" s="42">
        <f aca="true" t="shared" si="3" ref="I4:I10">F4*H4/1000</f>
        <v>0.14279999999999998</v>
      </c>
      <c r="J4" s="15">
        <f>Small!S7</f>
        <v>1</v>
      </c>
      <c r="K4" s="15">
        <f>Small!T7</f>
        <v>1.19</v>
      </c>
      <c r="L4" s="15" t="str">
        <f>Small!U7</f>
        <v>R.S.</v>
      </c>
      <c r="M4" s="15" t="str">
        <f>Small!V7</f>
        <v>catalogo</v>
      </c>
      <c r="N4" s="38" t="str">
        <f>Small!W7</f>
        <v>11/98</v>
      </c>
    </row>
    <row r="5" spans="1:14" ht="12.75">
      <c r="A5" s="6" t="str">
        <f>Small!$A$10</f>
        <v>SN74ALS08D quad-AND gate SOIC14 150mil</v>
      </c>
      <c r="B5" s="15">
        <v>3</v>
      </c>
      <c r="C5" s="7" t="e">
        <f>B5*$F$2</f>
        <v>#REF!</v>
      </c>
      <c r="D5" s="7">
        <v>20</v>
      </c>
      <c r="E5" s="7" t="e">
        <f>ROUND(C5*(1+D5/100),0)</f>
        <v>#REF!</v>
      </c>
      <c r="F5" s="15">
        <v>50</v>
      </c>
      <c r="G5" s="15">
        <f>Small!$N$10</f>
        <v>0.68</v>
      </c>
      <c r="H5" s="7">
        <f>G5*1.2</f>
        <v>0.8160000000000001</v>
      </c>
      <c r="I5" s="42">
        <f>F5*H5/1000</f>
        <v>0.0408</v>
      </c>
      <c r="J5" s="15">
        <f>Small!S10</f>
        <v>1</v>
      </c>
      <c r="K5" s="15">
        <f>Small!T10</f>
        <v>0.68</v>
      </c>
      <c r="L5" s="15" t="str">
        <f>Small!U10</f>
        <v>R.S.</v>
      </c>
      <c r="M5" s="15" t="str">
        <f>Small!V10</f>
        <v>catalogo</v>
      </c>
      <c r="N5" s="38" t="str">
        <f>Small!W10</f>
        <v>11/98</v>
      </c>
    </row>
    <row r="6" spans="1:14" ht="12.75">
      <c r="A6" s="6" t="str">
        <f>Small!$A$11</f>
        <v>SN74ALS02D quad-NOR gate SOIC14 150mil</v>
      </c>
      <c r="B6" s="15">
        <v>1</v>
      </c>
      <c r="C6" s="7" t="e">
        <f>B6*$F$2</f>
        <v>#REF!</v>
      </c>
      <c r="D6" s="7">
        <v>20</v>
      </c>
      <c r="E6" s="7" t="e">
        <f>ROUND(C6*(1+D6/100),0)</f>
        <v>#REF!</v>
      </c>
      <c r="F6" s="15">
        <v>20</v>
      </c>
      <c r="G6" s="15">
        <f>Small!$N$11</f>
        <v>0.5</v>
      </c>
      <c r="H6" s="7">
        <f>G6*1.2</f>
        <v>0.6</v>
      </c>
      <c r="I6" s="42">
        <f>F6*H6/1000</f>
        <v>0.012</v>
      </c>
      <c r="J6" s="15">
        <f>Small!S11</f>
        <v>1</v>
      </c>
      <c r="K6" s="15">
        <f>Small!T11</f>
        <v>0.5</v>
      </c>
      <c r="L6" s="15" t="str">
        <f>Small!U11</f>
        <v>R.S.</v>
      </c>
      <c r="M6" s="15" t="str">
        <f>Small!V11</f>
        <v>catalogo</v>
      </c>
      <c r="N6" s="38" t="str">
        <f>Small!W11</f>
        <v>11/98</v>
      </c>
    </row>
    <row r="7" spans="1:17" s="6" customFormat="1" ht="12.75" customHeight="1">
      <c r="A7" s="6" t="str">
        <f>Small!A12</f>
        <v>SN74ALS540DW 8-bit inverter SOIC16 300mil</v>
      </c>
      <c r="B7" s="15">
        <v>1</v>
      </c>
      <c r="C7" s="7" t="e">
        <f t="shared" si="0"/>
        <v>#REF!</v>
      </c>
      <c r="D7" s="7">
        <v>20</v>
      </c>
      <c r="E7" s="7" t="e">
        <f t="shared" si="1"/>
        <v>#REF!</v>
      </c>
      <c r="F7" s="15">
        <v>20</v>
      </c>
      <c r="G7" s="15">
        <f>Small!$N$12</f>
        <v>2.71</v>
      </c>
      <c r="H7" s="7">
        <f t="shared" si="2"/>
        <v>3.252</v>
      </c>
      <c r="I7" s="42">
        <f t="shared" si="3"/>
        <v>0.06503999999999999</v>
      </c>
      <c r="J7" s="15">
        <f>Small!S12</f>
        <v>1</v>
      </c>
      <c r="K7" s="15">
        <f>Small!T12</f>
        <v>2.71</v>
      </c>
      <c r="L7" s="15" t="str">
        <f>Small!U12</f>
        <v>R.S.</v>
      </c>
      <c r="M7" s="15" t="str">
        <f>Small!V12</f>
        <v>catalogo</v>
      </c>
      <c r="N7" s="38" t="str">
        <f>Small!W12</f>
        <v>9/98</v>
      </c>
      <c r="O7" s="50"/>
      <c r="P7"/>
      <c r="Q7"/>
    </row>
    <row r="8" spans="1:17" s="6" customFormat="1" ht="12.75" customHeight="1">
      <c r="A8" s="6" t="str">
        <f>Small!A13</f>
        <v>IDT74FCT521ATSO 8-bit comparator SOIC20 300mil</v>
      </c>
      <c r="B8" s="15">
        <v>1</v>
      </c>
      <c r="C8" s="7" t="e">
        <f t="shared" si="0"/>
        <v>#REF!</v>
      </c>
      <c r="D8" s="7">
        <v>20</v>
      </c>
      <c r="E8" s="7" t="e">
        <f t="shared" si="1"/>
        <v>#REF!</v>
      </c>
      <c r="F8" s="15">
        <v>20</v>
      </c>
      <c r="G8" s="15">
        <f>Small!$N$13</f>
        <v>5.47</v>
      </c>
      <c r="H8" s="7">
        <f t="shared" si="2"/>
        <v>6.563999999999999</v>
      </c>
      <c r="I8" s="42">
        <f t="shared" si="3"/>
        <v>0.13127999999999998</v>
      </c>
      <c r="J8" s="15">
        <f>Small!S13</f>
        <v>1</v>
      </c>
      <c r="K8" s="15">
        <f>Small!T13</f>
        <v>5.47</v>
      </c>
      <c r="L8" s="15" t="str">
        <f>Small!U13</f>
        <v>AVNET</v>
      </c>
      <c r="M8" s="15" t="str">
        <f>Small!V13</f>
        <v>catalogo</v>
      </c>
      <c r="N8" s="38" t="str">
        <f>Small!W13</f>
        <v>9/98</v>
      </c>
      <c r="O8" s="50"/>
      <c r="P8"/>
      <c r="Q8"/>
    </row>
    <row r="9" spans="1:14" ht="12.75">
      <c r="A9" s="6" t="s">
        <v>56</v>
      </c>
      <c r="B9" s="15">
        <v>1</v>
      </c>
      <c r="C9" s="7" t="e">
        <f t="shared" si="0"/>
        <v>#REF!</v>
      </c>
      <c r="D9" s="7">
        <v>20</v>
      </c>
      <c r="E9" s="7" t="e">
        <f t="shared" si="1"/>
        <v>#REF!</v>
      </c>
      <c r="F9" s="15">
        <v>20</v>
      </c>
      <c r="G9" s="15">
        <f>Small!$N$16</f>
        <v>0.64</v>
      </c>
      <c r="H9" s="7">
        <f t="shared" si="2"/>
        <v>0.768</v>
      </c>
      <c r="I9" s="42">
        <f t="shared" si="3"/>
        <v>0.015359999999999999</v>
      </c>
      <c r="J9" s="15">
        <f>Small!S16</f>
        <v>1</v>
      </c>
      <c r="K9" s="15">
        <f>Small!T16</f>
        <v>0.64</v>
      </c>
      <c r="L9" s="15" t="str">
        <f>Small!U16</f>
        <v>R.S.</v>
      </c>
      <c r="M9" s="15" t="str">
        <f>Small!V16</f>
        <v>catalogo</v>
      </c>
      <c r="N9" s="38" t="str">
        <f>Small!W16</f>
        <v>9/98</v>
      </c>
    </row>
    <row r="10" spans="1:14" ht="12.75">
      <c r="A10" s="6" t="s">
        <v>59</v>
      </c>
      <c r="B10" s="15">
        <v>1</v>
      </c>
      <c r="C10" s="7" t="e">
        <f t="shared" si="0"/>
        <v>#REF!</v>
      </c>
      <c r="D10" s="7">
        <v>20</v>
      </c>
      <c r="E10" s="7" t="e">
        <f t="shared" si="1"/>
        <v>#REF!</v>
      </c>
      <c r="F10" s="15">
        <v>20</v>
      </c>
      <c r="G10" s="15">
        <f>Small!$N$17</f>
        <v>3</v>
      </c>
      <c r="H10" s="7">
        <f t="shared" si="2"/>
        <v>3.5999999999999996</v>
      </c>
      <c r="I10" s="42">
        <f t="shared" si="3"/>
        <v>0.072</v>
      </c>
      <c r="J10" s="15">
        <f>Small!S17</f>
        <v>1</v>
      </c>
      <c r="K10" s="15">
        <f>Small!T17</f>
        <v>3</v>
      </c>
      <c r="L10" s="15" t="str">
        <f>Small!U17</f>
        <v>?</v>
      </c>
      <c r="M10" s="15" t="str">
        <f>Small!V17</f>
        <v>guess</v>
      </c>
      <c r="N10" s="38" t="str">
        <f>Small!W17</f>
        <v>11/98</v>
      </c>
    </row>
    <row r="11" spans="1:14" ht="13.5" thickBot="1">
      <c r="A11" s="51" t="s">
        <v>48</v>
      </c>
      <c r="B11" s="51"/>
      <c r="C11" s="51"/>
      <c r="D11" s="51"/>
      <c r="E11" s="51"/>
      <c r="F11" s="51"/>
      <c r="G11" s="69">
        <f>SUMPRODUCT(G4:G10,B4:B10)</f>
        <v>21.5</v>
      </c>
      <c r="H11" s="69">
        <f t="shared" si="2"/>
        <v>25.8</v>
      </c>
      <c r="I11" s="63"/>
      <c r="J11" s="51"/>
      <c r="K11" s="51"/>
      <c r="L11" s="59"/>
      <c r="M11" s="51"/>
      <c r="N11" s="51"/>
    </row>
    <row r="12" spans="1:14" ht="13.5" thickBot="1">
      <c r="A12" s="61" t="s">
        <v>50</v>
      </c>
      <c r="B12" s="61"/>
      <c r="C12" s="61"/>
      <c r="D12" s="61"/>
      <c r="E12" s="61"/>
      <c r="F12" s="61"/>
      <c r="G12" s="61"/>
      <c r="H12" s="61"/>
      <c r="I12" s="64">
        <f>SUM(I4:I10)</f>
        <v>0.47927999999999993</v>
      </c>
      <c r="J12" s="61"/>
      <c r="K12" s="61"/>
      <c r="L12" s="62"/>
      <c r="M12" s="61"/>
      <c r="N12" s="61"/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&amp;CPrepared by Stefano Belforte &amp;D&amp;RPage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F4" sqref="F4"/>
    </sheetView>
  </sheetViews>
  <sheetFormatPr defaultColWidth="9.00390625" defaultRowHeight="12.75"/>
  <cols>
    <col min="1" max="1" width="41.375" style="0" customWidth="1"/>
    <col min="2" max="12" width="5.75390625" style="0" customWidth="1"/>
    <col min="13" max="13" width="6.75390625" style="0" customWidth="1"/>
    <col min="14" max="14" width="5.75390625" style="0" customWidth="1"/>
  </cols>
  <sheetData>
    <row r="1" spans="12:14" ht="12.75">
      <c r="L1" s="60"/>
      <c r="N1" s="47"/>
    </row>
    <row r="2" spans="1:14" ht="12.75">
      <c r="A2" s="46" t="s">
        <v>79</v>
      </c>
      <c r="B2" s="46" t="s">
        <v>64</v>
      </c>
      <c r="C2" s="46"/>
      <c r="D2" s="46"/>
      <c r="E2" s="46"/>
      <c r="F2" s="49">
        <f>'ic'!B11</f>
        <v>7</v>
      </c>
      <c r="G2" s="46"/>
      <c r="H2" s="46"/>
      <c r="I2" s="46"/>
      <c r="J2" s="46"/>
      <c r="K2" s="46"/>
      <c r="L2" s="48"/>
      <c r="M2" s="46"/>
      <c r="N2" s="46"/>
    </row>
    <row r="3" spans="1:14" ht="63.75">
      <c r="A3" s="41" t="s">
        <v>5</v>
      </c>
      <c r="B3" s="52" t="s">
        <v>8</v>
      </c>
      <c r="C3" s="53" t="s">
        <v>7</v>
      </c>
      <c r="D3" s="54" t="s">
        <v>30</v>
      </c>
      <c r="E3" s="55" t="s">
        <v>31</v>
      </c>
      <c r="F3" s="55" t="s">
        <v>12</v>
      </c>
      <c r="G3" s="54" t="s">
        <v>9</v>
      </c>
      <c r="H3" s="56" t="s">
        <v>33</v>
      </c>
      <c r="I3" s="55" t="s">
        <v>6</v>
      </c>
      <c r="J3" s="57" t="s">
        <v>38</v>
      </c>
      <c r="K3" s="57" t="s">
        <v>32</v>
      </c>
      <c r="L3" s="58" t="s">
        <v>24</v>
      </c>
      <c r="M3" s="57" t="s">
        <v>49</v>
      </c>
      <c r="N3" s="39" t="s">
        <v>26</v>
      </c>
    </row>
    <row r="4" spans="1:17" s="6" customFormat="1" ht="12.75" customHeight="1">
      <c r="A4" s="6" t="str">
        <f>Small!A6</f>
        <v>SN74AS32D quad-OR gate SOIC14 150mil</v>
      </c>
      <c r="B4" s="15">
        <v>6</v>
      </c>
      <c r="C4" s="7">
        <f aca="true" t="shared" si="0" ref="C4:C9">B4*$F$2</f>
        <v>42</v>
      </c>
      <c r="D4" s="7">
        <v>20</v>
      </c>
      <c r="E4" s="7">
        <f aca="true" t="shared" si="1" ref="E4:E9">ROUND(C4*(1+D4/100),0)</f>
        <v>50</v>
      </c>
      <c r="F4" s="15">
        <v>150</v>
      </c>
      <c r="G4" s="15">
        <f>Small!$N$6</f>
        <v>2</v>
      </c>
      <c r="H4" s="7">
        <f aca="true" t="shared" si="2" ref="H4:H10">G4*1.2</f>
        <v>2.4</v>
      </c>
      <c r="I4" s="42">
        <f aca="true" t="shared" si="3" ref="I4:I9">F4*H4/1000</f>
        <v>0.36</v>
      </c>
      <c r="J4" s="15">
        <f>Small!S6</f>
        <v>1</v>
      </c>
      <c r="K4" s="15" t="str">
        <f>Small!T6</f>
        <v>0.46$</v>
      </c>
      <c r="L4" s="15" t="str">
        <f>Small!U6</f>
        <v>TI</v>
      </c>
      <c r="M4" s="15" t="str">
        <f>Small!V6</f>
        <v>web</v>
      </c>
      <c r="N4" s="38" t="str">
        <f>Small!W6</f>
        <v>11/98</v>
      </c>
      <c r="O4" s="50"/>
      <c r="P4"/>
      <c r="Q4"/>
    </row>
    <row r="5" spans="1:14" ht="12.75">
      <c r="A5" s="6" t="str">
        <f>Small!A7</f>
        <v>CD74HCT123M dual monost SOIC16 150mil </v>
      </c>
      <c r="B5" s="15">
        <v>8</v>
      </c>
      <c r="C5" s="7">
        <f t="shared" si="0"/>
        <v>56</v>
      </c>
      <c r="D5" s="7">
        <v>20</v>
      </c>
      <c r="E5" s="7">
        <f t="shared" si="1"/>
        <v>67</v>
      </c>
      <c r="F5" s="15">
        <v>200</v>
      </c>
      <c r="G5" s="15">
        <f>Small!$N$7</f>
        <v>1.19</v>
      </c>
      <c r="H5" s="7">
        <f t="shared" si="2"/>
        <v>1.428</v>
      </c>
      <c r="I5" s="42">
        <f t="shared" si="3"/>
        <v>0.28559999999999997</v>
      </c>
      <c r="J5" s="15">
        <f>Small!S7</f>
        <v>1</v>
      </c>
      <c r="K5" s="15">
        <f>Small!T7</f>
        <v>1.19</v>
      </c>
      <c r="L5" s="15" t="str">
        <f>Small!U7</f>
        <v>R.S.</v>
      </c>
      <c r="M5" s="15" t="str">
        <f>Small!V7</f>
        <v>catalogo</v>
      </c>
      <c r="N5" s="38" t="str">
        <f>Small!W7</f>
        <v>11/98</v>
      </c>
    </row>
    <row r="6" spans="1:14" ht="12.75">
      <c r="A6" s="6" t="str">
        <f>Small!A10</f>
        <v>SN74ALS08D quad-AND gate SOIC14 150mil</v>
      </c>
      <c r="B6" s="15">
        <v>4</v>
      </c>
      <c r="C6" s="7">
        <f>B6*$F$2</f>
        <v>28</v>
      </c>
      <c r="D6" s="7">
        <v>20</v>
      </c>
      <c r="E6" s="7">
        <f>ROUND(C6*(1+D6/100),0)</f>
        <v>34</v>
      </c>
      <c r="F6" s="15">
        <v>110</v>
      </c>
      <c r="G6" s="15">
        <f>Small!$N$10</f>
        <v>0.68</v>
      </c>
      <c r="H6" s="7">
        <f>G6*1.2</f>
        <v>0.8160000000000001</v>
      </c>
      <c r="I6" s="42">
        <f>F6*H6/1000</f>
        <v>0.08976</v>
      </c>
      <c r="J6" s="15">
        <f>Small!S10</f>
        <v>1</v>
      </c>
      <c r="K6" s="15">
        <f>Small!T10</f>
        <v>0.68</v>
      </c>
      <c r="L6" s="15" t="str">
        <f>Small!U10</f>
        <v>R.S.</v>
      </c>
      <c r="M6" s="15" t="str">
        <f>Small!V10</f>
        <v>catalogo</v>
      </c>
      <c r="N6" s="38" t="str">
        <f>Small!W10</f>
        <v>11/98</v>
      </c>
    </row>
    <row r="7" spans="1:14" ht="12.75">
      <c r="A7" s="6" t="str">
        <f>Small!A11</f>
        <v>SN74ALS02D quad-NOR gate SOIC14 150mil</v>
      </c>
      <c r="B7" s="15">
        <v>2</v>
      </c>
      <c r="C7" s="7">
        <f>B7*$F$2</f>
        <v>14</v>
      </c>
      <c r="D7" s="7">
        <v>20</v>
      </c>
      <c r="E7" s="7">
        <f>ROUND(C7*(1+D7/100),0)</f>
        <v>17</v>
      </c>
      <c r="F7" s="15">
        <v>80</v>
      </c>
      <c r="G7" s="15">
        <f>Small!$N$11</f>
        <v>0.5</v>
      </c>
      <c r="H7" s="7">
        <f>G7*1.2</f>
        <v>0.6</v>
      </c>
      <c r="I7" s="42">
        <f>F7*H7/1000</f>
        <v>0.048</v>
      </c>
      <c r="J7" s="15">
        <f>Small!S11</f>
        <v>1</v>
      </c>
      <c r="K7" s="15">
        <f>Small!T11</f>
        <v>0.5</v>
      </c>
      <c r="L7" s="15" t="str">
        <f>Small!U11</f>
        <v>R.S.</v>
      </c>
      <c r="M7" s="15" t="str">
        <f>Small!V11</f>
        <v>catalogo</v>
      </c>
      <c r="N7" s="38" t="str">
        <f>Small!W11</f>
        <v>11/98</v>
      </c>
    </row>
    <row r="8" spans="1:17" s="6" customFormat="1" ht="12.75" customHeight="1">
      <c r="A8" s="6" t="str">
        <f>Small!A12</f>
        <v>SN74ALS540DW 8-bit inverter SOIC16 300mil</v>
      </c>
      <c r="B8" s="15">
        <v>1</v>
      </c>
      <c r="C8" s="7">
        <f t="shared" si="0"/>
        <v>7</v>
      </c>
      <c r="D8" s="7">
        <v>20</v>
      </c>
      <c r="E8" s="7">
        <f t="shared" si="1"/>
        <v>8</v>
      </c>
      <c r="F8" s="15">
        <v>40</v>
      </c>
      <c r="G8" s="15">
        <f>Small!N12</f>
        <v>2.71</v>
      </c>
      <c r="H8" s="7">
        <f t="shared" si="2"/>
        <v>3.252</v>
      </c>
      <c r="I8" s="42">
        <f t="shared" si="3"/>
        <v>0.13007999999999997</v>
      </c>
      <c r="J8" s="15">
        <f>Small!S12</f>
        <v>1</v>
      </c>
      <c r="K8" s="15">
        <f>Small!T12</f>
        <v>2.71</v>
      </c>
      <c r="L8" s="15" t="str">
        <f>Small!U12</f>
        <v>R.S.</v>
      </c>
      <c r="M8" s="15" t="str">
        <f>Small!V12</f>
        <v>catalogo</v>
      </c>
      <c r="N8" s="38" t="str">
        <f>Small!W12</f>
        <v>9/98</v>
      </c>
      <c r="O8" s="50"/>
      <c r="P8"/>
      <c r="Q8"/>
    </row>
    <row r="9" spans="1:17" s="6" customFormat="1" ht="12.75" customHeight="1">
      <c r="A9" s="6" t="str">
        <f>Small!A13</f>
        <v>IDT74FCT521ATSO 8-bit comparator SOIC20 300mil</v>
      </c>
      <c r="B9" s="15">
        <v>1</v>
      </c>
      <c r="C9" s="7">
        <f t="shared" si="0"/>
        <v>7</v>
      </c>
      <c r="D9" s="7">
        <v>20</v>
      </c>
      <c r="E9" s="7">
        <f t="shared" si="1"/>
        <v>8</v>
      </c>
      <c r="F9" s="15">
        <v>40</v>
      </c>
      <c r="G9" s="15">
        <f>Small!N13</f>
        <v>5.47</v>
      </c>
      <c r="H9" s="7">
        <f t="shared" si="2"/>
        <v>6.563999999999999</v>
      </c>
      <c r="I9" s="42">
        <f t="shared" si="3"/>
        <v>0.26255999999999996</v>
      </c>
      <c r="J9" s="15">
        <f>Small!S13</f>
        <v>1</v>
      </c>
      <c r="K9" s="15">
        <f>Small!T13</f>
        <v>5.47</v>
      </c>
      <c r="L9" s="15" t="str">
        <f>Small!U13</f>
        <v>AVNET</v>
      </c>
      <c r="M9" s="15" t="str">
        <f>Small!V13</f>
        <v>catalogo</v>
      </c>
      <c r="N9" s="38" t="str">
        <f>Small!W13</f>
        <v>9/98</v>
      </c>
      <c r="O9" s="50"/>
      <c r="P9"/>
      <c r="Q9"/>
    </row>
    <row r="10" spans="1:14" ht="13.5" thickBot="1">
      <c r="A10" s="51" t="s">
        <v>48</v>
      </c>
      <c r="B10" s="51"/>
      <c r="C10" s="51"/>
      <c r="D10" s="51"/>
      <c r="E10" s="51"/>
      <c r="F10" s="51"/>
      <c r="G10" s="45">
        <f>SUMPRODUCT(G4:G6,B4:B6)</f>
        <v>24.24</v>
      </c>
      <c r="H10" s="45">
        <f t="shared" si="2"/>
        <v>29.087999999999997</v>
      </c>
      <c r="I10" s="63"/>
      <c r="J10" s="51"/>
      <c r="K10" s="51"/>
      <c r="L10" s="59"/>
      <c r="M10" s="51"/>
      <c r="N10" s="51"/>
    </row>
    <row r="11" spans="1:14" ht="13.5" thickBot="1">
      <c r="A11" s="61" t="s">
        <v>50</v>
      </c>
      <c r="B11" s="61"/>
      <c r="C11" s="61"/>
      <c r="D11" s="61"/>
      <c r="E11" s="61"/>
      <c r="F11" s="61"/>
      <c r="G11" s="61"/>
      <c r="H11" s="61"/>
      <c r="I11" s="64">
        <f>SUM(I4:I6)</f>
        <v>0.73536</v>
      </c>
      <c r="J11" s="61"/>
      <c r="K11" s="61"/>
      <c r="L11" s="62"/>
      <c r="M11" s="61"/>
      <c r="N11" s="61"/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&amp;CPrepared by Stefano Belforte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Zanetti</cp:lastModifiedBy>
  <cp:lastPrinted>2000-02-04T11:00:05Z</cp:lastPrinted>
  <dcterms:created xsi:type="dcterms:W3CDTF">1998-03-04T22:06:45Z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