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365" windowWidth="15180" windowHeight="492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<sst xmlns="http://schemas.openxmlformats.org/spreadsheetml/2006/main" count="216" uniqueCount="159">
  <si>
    <t>expected lum</t>
  </si>
  <si>
    <t>cdf5914</t>
  </si>
  <si>
    <t>cpu</t>
  </si>
  <si>
    <t>disk</t>
  </si>
  <si>
    <t>perf/piece</t>
  </si>
  <si>
    <t>Npieces</t>
  </si>
  <si>
    <t>cost one</t>
  </si>
  <si>
    <t>cost tot</t>
  </si>
  <si>
    <t>cost Keuro</t>
  </si>
  <si>
    <t>cdf-5914</t>
  </si>
  <si>
    <t>per frb-1</t>
  </si>
  <si>
    <t>GHz</t>
  </si>
  <si>
    <t>TB</t>
  </si>
  <si>
    <t>from 2002</t>
  </si>
  <si>
    <t>buy in 2003</t>
  </si>
  <si>
    <t>to buy</t>
  </si>
  <si>
    <t>year</t>
  </si>
  <si>
    <t>cdf5914lum</t>
  </si>
  <si>
    <t>TOT</t>
  </si>
  <si>
    <t>2004-5 average</t>
  </si>
  <si>
    <t>interact.cpu</t>
  </si>
  <si>
    <t>cont.etc.</t>
  </si>
  <si>
    <t>"vero"</t>
  </si>
  <si>
    <t>"per gr1"</t>
  </si>
  <si>
    <t>of batch</t>
  </si>
  <si>
    <t>offset</t>
  </si>
  <si>
    <t>(330+220)</t>
  </si>
  <si>
    <t>(180+130)</t>
  </si>
  <si>
    <t>bottom lines</t>
  </si>
  <si>
    <t>Nduals</t>
  </si>
  <si>
    <t>speed</t>
  </si>
  <si>
    <t>tot cpu</t>
  </si>
  <si>
    <t>Nfileserv</t>
  </si>
  <si>
    <t>capac</t>
  </si>
  <si>
    <t>tot disk</t>
  </si>
  <si>
    <t>2002-1</t>
  </si>
  <si>
    <t>2002-2</t>
  </si>
  <si>
    <t>integ disk</t>
  </si>
  <si>
    <t>integ.cpu</t>
  </si>
  <si>
    <t>2005-1</t>
  </si>
  <si>
    <t>TB have</t>
  </si>
  <si>
    <t>CPU goal</t>
  </si>
  <si>
    <t>CPU have</t>
  </si>
  <si>
    <t>Duals buy</t>
  </si>
  <si>
    <t>K$</t>
  </si>
  <si>
    <t>Keu</t>
  </si>
  <si>
    <t>TB goal</t>
  </si>
  <si>
    <t>125*.15*1</t>
  </si>
  <si>
    <t>buy everything for up to the first pb ^-1, long lead time, no disk update until end 2003, concentrate on CNAF</t>
  </si>
  <si>
    <t>now: complete existing 8 TB with 34 more duals</t>
  </si>
  <si>
    <t>total 15 TB = 7 file servers + 75 duals</t>
  </si>
  <si>
    <t>toto K$</t>
  </si>
  <si>
    <t>K$disk</t>
  </si>
  <si>
    <t>K$cpu</t>
  </si>
  <si>
    <t>KEuro</t>
  </si>
  <si>
    <t>tot</t>
  </si>
  <si>
    <t>spesi 2001</t>
  </si>
  <si>
    <t>grand tot</t>
  </si>
  <si>
    <t>conting.</t>
  </si>
  <si>
    <t>L  eoy+1</t>
  </si>
  <si>
    <t>LOOK for refereees</t>
  </si>
  <si>
    <t>anno</t>
  </si>
  <si>
    <t>Lint</t>
  </si>
  <si>
    <t>Lint y+1</t>
  </si>
  <si>
    <t>disk buy</t>
  </si>
  <si>
    <t>int disk</t>
  </si>
  <si>
    <t>Eu</t>
  </si>
  <si>
    <t>Ladjust</t>
  </si>
  <si>
    <t>intcpu</t>
  </si>
  <si>
    <t>intdisk</t>
  </si>
  <si>
    <t>cpu buy(d*10)</t>
  </si>
  <si>
    <t>125*12%=</t>
  </si>
  <si>
    <t>125*15%=</t>
  </si>
  <si>
    <t>sum</t>
  </si>
  <si>
    <t>Lyear and Lyear+1</t>
  </si>
  <si>
    <t>Ladj</t>
  </si>
  <si>
    <t>intCPU</t>
  </si>
  <si>
    <t>per referees: disk = 125TB/fb*15%=19TB/fb^-1 ,then round to FS boundary. cpu = disk*100+10% adjust Ltarget to mid ground between</t>
  </si>
  <si>
    <t>disk adj</t>
  </si>
  <si>
    <t>FS buy</t>
  </si>
  <si>
    <t>dual buy</t>
  </si>
  <si>
    <t>dual need</t>
  </si>
  <si>
    <t>dual</t>
  </si>
  <si>
    <t>k$ dual</t>
  </si>
  <si>
    <t>k$ fserver</t>
  </si>
  <si>
    <t>FS size</t>
  </si>
  <si>
    <t>present</t>
  </si>
  <si>
    <t>next y</t>
  </si>
  <si>
    <t xml:space="preserve"> </t>
  </si>
  <si>
    <t>disk to</t>
  </si>
  <si>
    <t>FS</t>
  </si>
  <si>
    <t>CPU to</t>
  </si>
  <si>
    <t>CPU pow</t>
  </si>
  <si>
    <t>cost disk</t>
  </si>
  <si>
    <t>total</t>
  </si>
  <si>
    <t>cost CPU</t>
  </si>
  <si>
    <t>GHZ</t>
  </si>
  <si>
    <t>add FS</t>
  </si>
  <si>
    <t>add Dual</t>
  </si>
  <si>
    <t>Finanz.</t>
  </si>
  <si>
    <t>already spent</t>
  </si>
  <si>
    <t>also buy everything for up to the first fb ^-1, long lead time, no disk update until end 2003, concentrate on CNAF</t>
  </si>
  <si>
    <t>2004: buy and install hw for 3.5 fb^-1</t>
  </si>
  <si>
    <t>etc.</t>
  </si>
  <si>
    <t>2003: buy and install hw for 2 fb^-1</t>
  </si>
  <si>
    <t>now: complete existing 8 TB with 34 more duals to reach target 1GHz/100GB</t>
  </si>
  <si>
    <t>what most US sites will do at home/FNAL (MIT,PENN,LBL,UCHI..)</t>
  </si>
  <si>
    <t>assume price of hardware stays constant per-piece, but performance increase with Moore</t>
  </si>
  <si>
    <t>keep in mind CPU speed increases smootly, disk doubles every now and then</t>
  </si>
  <si>
    <t>CDF global estimate of disk/fb^-1 (TB)</t>
  </si>
  <si>
    <t>Size of italian group (fraction of CDF)</t>
  </si>
  <si>
    <t>NUMERIC CONSTANTS</t>
  </si>
  <si>
    <t>84ML spent in 2001</t>
  </si>
  <si>
    <t>NOTE 1: 279+80 spent = 359KEuro for 2002 total vs. 300 requested in September 2001</t>
  </si>
  <si>
    <t>NOTE 6: 2003/4 requests will also include contingency for MC and/or route changes</t>
  </si>
  <si>
    <t>req 2003 (NOTE 2-3-5-6)</t>
  </si>
  <si>
    <t>req 2004 (NOTE 4-5-6)</t>
  </si>
  <si>
    <t>total Keu</t>
  </si>
  <si>
    <t>Euro/$</t>
  </si>
  <si>
    <t>Keu integ</t>
  </si>
  <si>
    <t>NOTE 2: 2003 disks can be bought now (no size step until next summer) = Keuro</t>
  </si>
  <si>
    <t>NOTE 3: all 2003 purchases could be started as bids in 2002 = KEuro</t>
  </si>
  <si>
    <t>NOTE 5: total possible advance  to 2002 = NOTE3 + NOTE4 = KEuro</t>
  </si>
  <si>
    <t>NOTE 4: 2004 disks can bought at end 2003 on bids that start in 2002 = KEuro</t>
  </si>
  <si>
    <t>NOTE 7: 2005-7 is only for example, is outside Run2a budget and we hope to move to CNAF by then</t>
  </si>
  <si>
    <t>total 19 TB = 9 file servers + 79 duals vs. 4+10 bought with January 2002 funds</t>
  </si>
  <si>
    <t>integrated</t>
  </si>
  <si>
    <t>add (TB)</t>
  </si>
  <si>
    <t>add (GHz)</t>
  </si>
  <si>
    <t>adj TB</t>
  </si>
  <si>
    <t>tot CPU</t>
  </si>
  <si>
    <t>adj GHz</t>
  </si>
  <si>
    <t>SLIDE:</t>
  </si>
  <si>
    <t>Requested per year (Keuro)</t>
  </si>
  <si>
    <t>cont.40%</t>
  </si>
  <si>
    <t>120sblocco + 136new (NOTE 1)</t>
  </si>
  <si>
    <t>expect 2005 and following to go to almost 0 (only maint) as/if CR@CNAF delivers promises</t>
  </si>
  <si>
    <t>additional CPU for batch root</t>
  </si>
  <si>
    <t>disk =   round to FS boundary. cpu = disk*1GHz/100GB+root. adjust Ltarget to mid ground between current and next year</t>
  </si>
  <si>
    <t>versione sinottica</t>
  </si>
  <si>
    <t>Ltarget</t>
  </si>
  <si>
    <t>COMPUTE AS: needs scale with people and luminosity. Size disk needs as fraction of  CDF planned disk and scale CPU to disk</t>
  </si>
  <si>
    <t>so to make sure we get have on disk data we need up to large (O(TB)) ntuples, and hopefully can also do at FNAL</t>
  </si>
  <si>
    <t>commissioning</t>
  </si>
  <si>
    <t>duals</t>
  </si>
  <si>
    <t>NOTE 7</t>
  </si>
  <si>
    <t>cost/y (Keuro)</t>
  </si>
  <si>
    <t>CPU (duals)</t>
  </si>
  <si>
    <t>disk     (TB)</t>
  </si>
  <si>
    <t>ANALYSIS FARM</t>
  </si>
  <si>
    <t>Luminosity</t>
  </si>
  <si>
    <t>Planned (Church)</t>
  </si>
  <si>
    <t>Target (adjusted)</t>
  </si>
  <si>
    <r>
      <t xml:space="preserve">TOTAL cost Analysis Farm at  </t>
    </r>
    <r>
      <rPr>
        <b/>
        <sz val="12"/>
        <color indexed="18"/>
        <rFont val="Arial"/>
        <family val="2"/>
      </rPr>
      <t>FNAL</t>
    </r>
    <r>
      <rPr>
        <b/>
        <sz val="12"/>
        <color indexed="10"/>
        <rFont val="Arial"/>
        <family val="2"/>
      </rPr>
      <t xml:space="preserve"> + 40% conting. for Run2a expanded to  3.5 fb-1</t>
    </r>
  </si>
  <si>
    <r>
      <t xml:space="preserve">TOTAL cost for Analysis Farm at </t>
    </r>
    <r>
      <rPr>
        <b/>
        <sz val="12"/>
        <color indexed="57"/>
        <rFont val="Arial"/>
        <family val="2"/>
      </rPr>
      <t>CNAF</t>
    </r>
    <r>
      <rPr>
        <b/>
        <sz val="12"/>
        <color indexed="10"/>
        <rFont val="Arial"/>
        <family val="2"/>
      </rPr>
      <t xml:space="preserve"> + 40% coting. for Run2b (15 fb-1)</t>
    </r>
  </si>
  <si>
    <t>TOTAL BUDGET CENTRALIZED COMPUTING FOR ANALYSIS 2001-2008</t>
  </si>
  <si>
    <t>contingency 40% (Keuro)</t>
  </si>
  <si>
    <t>N.B. TB AND CPU NUMBERS ARE ROUNDED TO MULTIPLE OF 10 !!</t>
  </si>
  <si>
    <t>TENTATIVE CDF ITALY BUDGET FOR ANALYSIS AT FNAL 2002-3-4 and CNAF 2005-6-7-8</t>
  </si>
</sst>
</file>

<file path=xl/styles.xml><?xml version="1.0" encoding="utf-8"?>
<styleSheet xmlns="http://schemas.openxmlformats.org/spreadsheetml/2006/main">
  <numFmts count="15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</numFmts>
  <fonts count="16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8"/>
      <name val="Arial"/>
      <family val="2"/>
    </font>
    <font>
      <b/>
      <sz val="12"/>
      <color indexed="5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NumberFormat="1" applyFont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9" fontId="0" fillId="0" borderId="3" xfId="0" applyNumberFormat="1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9" fontId="0" fillId="0" borderId="5" xfId="0" applyNumberFormat="1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8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2" fillId="0" borderId="7" xfId="0" applyFont="1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170" fontId="2" fillId="0" borderId="8" xfId="0" applyNumberFormat="1" applyFont="1" applyBorder="1" applyAlignment="1" applyProtection="1">
      <alignment/>
      <protection locked="0"/>
    </xf>
    <xf numFmtId="170" fontId="0" fillId="0" borderId="7" xfId="0" applyNumberFormat="1" applyBorder="1" applyAlignment="1" applyProtection="1">
      <alignment/>
      <protection locked="0"/>
    </xf>
    <xf numFmtId="170" fontId="2" fillId="0" borderId="0" xfId="0" applyNumberFormat="1" applyFont="1" applyBorder="1" applyAlignment="1" applyProtection="1">
      <alignment/>
      <protection locked="0"/>
    </xf>
    <xf numFmtId="0" fontId="2" fillId="0" borderId="1" xfId="0" applyFont="1" applyBorder="1" applyAlignment="1" applyProtection="1">
      <alignment/>
      <protection locked="0"/>
    </xf>
    <xf numFmtId="170" fontId="2" fillId="0" borderId="3" xfId="0" applyNumberFormat="1" applyFont="1" applyBorder="1" applyAlignment="1" applyProtection="1">
      <alignment/>
      <protection locked="0"/>
    </xf>
    <xf numFmtId="170" fontId="0" fillId="0" borderId="1" xfId="0" applyNumberFormat="1" applyBorder="1" applyAlignment="1" applyProtection="1">
      <alignment/>
      <protection locked="0"/>
    </xf>
    <xf numFmtId="170" fontId="2" fillId="0" borderId="2" xfId="0" applyNumberFormat="1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0" fontId="2" fillId="0" borderId="3" xfId="0" applyFont="1" applyBorder="1" applyAlignment="1" applyProtection="1">
      <alignment/>
      <protection locked="0"/>
    </xf>
    <xf numFmtId="0" fontId="2" fillId="0" borderId="2" xfId="0" applyFont="1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2" fillId="0" borderId="7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7" xfId="0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4" xfId="0" applyFont="1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170" fontId="2" fillId="0" borderId="6" xfId="0" applyNumberFormat="1" applyFont="1" applyBorder="1" applyAlignment="1" applyProtection="1">
      <alignment/>
      <protection locked="0"/>
    </xf>
    <xf numFmtId="170" fontId="0" fillId="0" borderId="4" xfId="0" applyNumberFormat="1" applyBorder="1" applyAlignment="1" applyProtection="1">
      <alignment/>
      <protection locked="0"/>
    </xf>
    <xf numFmtId="170" fontId="2" fillId="0" borderId="5" xfId="0" applyNumberFormat="1" applyFont="1" applyBorder="1" applyAlignment="1" applyProtection="1">
      <alignment/>
      <protection locked="0"/>
    </xf>
    <xf numFmtId="0" fontId="0" fillId="0" borderId="5" xfId="0" applyFont="1" applyFill="1" applyBorder="1" applyAlignment="1" applyProtection="1">
      <alignment/>
      <protection locked="0"/>
    </xf>
    <xf numFmtId="0" fontId="2" fillId="0" borderId="6" xfId="0" applyFont="1" applyBorder="1" applyAlignment="1" applyProtection="1">
      <alignment/>
      <protection locked="0"/>
    </xf>
    <xf numFmtId="0" fontId="2" fillId="0" borderId="5" xfId="0" applyFont="1" applyBorder="1" applyAlignment="1" applyProtection="1">
      <alignment/>
      <protection locked="0"/>
    </xf>
    <xf numFmtId="0" fontId="0" fillId="0" borderId="4" xfId="0" applyFill="1" applyBorder="1" applyAlignment="1" applyProtection="1">
      <alignment/>
      <protection locked="0"/>
    </xf>
    <xf numFmtId="0" fontId="0" fillId="0" borderId="6" xfId="0" applyFill="1" applyBorder="1" applyAlignment="1" applyProtection="1">
      <alignment/>
      <protection locked="0"/>
    </xf>
    <xf numFmtId="0" fontId="2" fillId="0" borderId="5" xfId="0" applyFont="1" applyFill="1" applyBorder="1" applyAlignment="1" applyProtection="1">
      <alignment/>
      <protection locked="0"/>
    </xf>
    <xf numFmtId="0" fontId="2" fillId="0" borderId="2" xfId="0" applyFont="1" applyFill="1" applyBorder="1" applyAlignment="1" applyProtection="1">
      <alignment/>
      <protection locked="0"/>
    </xf>
    <xf numFmtId="170" fontId="0" fillId="0" borderId="0" xfId="0" applyNumberFormat="1" applyBorder="1" applyAlignment="1" applyProtection="1">
      <alignment/>
      <protection locked="0"/>
    </xf>
    <xf numFmtId="170" fontId="0" fillId="0" borderId="5" xfId="0" applyNumberFormat="1" applyBorder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0" fontId="8" fillId="2" borderId="10" xfId="0" applyFont="1" applyFill="1" applyBorder="1" applyAlignment="1" applyProtection="1">
      <alignment horizontal="center"/>
      <protection locked="0"/>
    </xf>
    <xf numFmtId="0" fontId="8" fillId="3" borderId="9" xfId="0" applyFont="1" applyFill="1" applyBorder="1" applyAlignment="1" applyProtection="1">
      <alignment horizontal="center"/>
      <protection locked="0"/>
    </xf>
    <xf numFmtId="0" fontId="8" fillId="3" borderId="10" xfId="0" applyFont="1" applyFill="1" applyBorder="1" applyAlignment="1" applyProtection="1">
      <alignment horizontal="center"/>
      <protection locked="0"/>
    </xf>
    <xf numFmtId="0" fontId="8" fillId="3" borderId="11" xfId="0" applyFont="1" applyFill="1" applyBorder="1" applyAlignment="1" applyProtection="1">
      <alignment horizontal="center"/>
      <protection locked="0"/>
    </xf>
    <xf numFmtId="0" fontId="8" fillId="3" borderId="7" xfId="0" applyFont="1" applyFill="1" applyBorder="1" applyAlignment="1" applyProtection="1">
      <alignment horizontal="center"/>
      <protection locked="0"/>
    </xf>
    <xf numFmtId="0" fontId="7" fillId="3" borderId="8" xfId="0" applyFont="1" applyFill="1" applyBorder="1" applyAlignment="1">
      <alignment horizontal="center"/>
    </xf>
    <xf numFmtId="0" fontId="8" fillId="3" borderId="4" xfId="0" applyFont="1" applyFill="1" applyBorder="1" applyAlignment="1" applyProtection="1">
      <alignment horizontal="center"/>
      <protection locked="0"/>
    </xf>
    <xf numFmtId="0" fontId="7" fillId="3" borderId="6" xfId="0" applyFont="1" applyFill="1" applyBorder="1" applyAlignment="1">
      <alignment horizontal="center"/>
    </xf>
    <xf numFmtId="0" fontId="0" fillId="3" borderId="11" xfId="0" applyFill="1" applyBorder="1" applyAlignment="1" applyProtection="1">
      <alignment horizontal="center"/>
      <protection locked="0"/>
    </xf>
    <xf numFmtId="170" fontId="6" fillId="3" borderId="10" xfId="0" applyNumberFormat="1" applyFont="1" applyFill="1" applyBorder="1" applyAlignment="1" applyProtection="1">
      <alignment horizontal="center"/>
      <protection hidden="1" locked="0"/>
    </xf>
    <xf numFmtId="0" fontId="7" fillId="3" borderId="10" xfId="0" applyFont="1" applyFill="1" applyBorder="1" applyAlignment="1" applyProtection="1">
      <alignment horizontal="center"/>
      <protection hidden="1" locked="0"/>
    </xf>
    <xf numFmtId="170" fontId="6" fillId="3" borderId="11" xfId="0" applyNumberFormat="1" applyFont="1" applyFill="1" applyBorder="1" applyAlignment="1" applyProtection="1">
      <alignment horizontal="center"/>
      <protection hidden="1" locked="0"/>
    </xf>
    <xf numFmtId="0" fontId="7" fillId="3" borderId="11" xfId="0" applyFont="1" applyFill="1" applyBorder="1" applyAlignment="1" applyProtection="1">
      <alignment horizontal="center"/>
      <protection hidden="1" locked="0"/>
    </xf>
    <xf numFmtId="0" fontId="8" fillId="3" borderId="1" xfId="0" applyFont="1" applyFill="1" applyBorder="1" applyAlignment="1" applyProtection="1">
      <alignment horizontal="center"/>
      <protection locked="0"/>
    </xf>
    <xf numFmtId="0" fontId="7" fillId="3" borderId="3" xfId="0" applyFont="1" applyFill="1" applyBorder="1" applyAlignment="1">
      <alignment horizontal="center"/>
    </xf>
    <xf numFmtId="0" fontId="0" fillId="3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170" fontId="6" fillId="3" borderId="9" xfId="0" applyNumberFormat="1" applyFont="1" applyFill="1" applyBorder="1" applyAlignment="1" applyProtection="1">
      <alignment horizontal="center"/>
      <protection hidden="1" locked="0"/>
    </xf>
    <xf numFmtId="0" fontId="7" fillId="3" borderId="9" xfId="0" applyFont="1" applyFill="1" applyBorder="1" applyAlignment="1" applyProtection="1">
      <alignment horizontal="center"/>
      <protection hidden="1"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3" xfId="0" applyFont="1" applyFill="1" applyBorder="1" applyAlignment="1" applyProtection="1">
      <alignment horizontal="center" vertical="top" wrapText="1"/>
      <protection locked="0"/>
    </xf>
    <xf numFmtId="0" fontId="2" fillId="4" borderId="4" xfId="0" applyFont="1" applyFill="1" applyBorder="1" applyAlignment="1" applyProtection="1">
      <alignment horizontal="center" vertical="top" wrapText="1"/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0" fillId="2" borderId="9" xfId="0" applyFill="1" applyBorder="1" applyAlignment="1" applyProtection="1">
      <alignment horizontal="center"/>
      <protection locked="0"/>
    </xf>
    <xf numFmtId="22" fontId="3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4" borderId="12" xfId="0" applyFont="1" applyFill="1" applyBorder="1" applyAlignment="1" applyProtection="1">
      <alignment horizontal="center" vertical="top" wrapText="1"/>
      <protection locked="0"/>
    </xf>
    <xf numFmtId="0" fontId="0" fillId="4" borderId="13" xfId="0" applyFont="1" applyFill="1" applyBorder="1" applyAlignment="1" applyProtection="1">
      <alignment horizontal="center" vertical="top" wrapText="1"/>
      <protection locked="0"/>
    </xf>
    <xf numFmtId="0" fontId="0" fillId="4" borderId="12" xfId="0" applyFont="1" applyFill="1" applyBorder="1" applyAlignment="1" applyProtection="1">
      <alignment horizontal="center" vertical="top" wrapText="1"/>
      <protection locked="0"/>
    </xf>
    <xf numFmtId="0" fontId="2" fillId="4" borderId="9" xfId="0" applyFont="1" applyFill="1" applyBorder="1" applyAlignment="1" applyProtection="1">
      <alignment horizontal="center" vertical="top" wrapText="1"/>
      <protection locked="0"/>
    </xf>
    <xf numFmtId="170" fontId="6" fillId="2" borderId="9" xfId="0" applyNumberFormat="1" applyFont="1" applyFill="1" applyBorder="1" applyAlignment="1" applyProtection="1">
      <alignment horizontal="center"/>
      <protection hidden="1" locked="0"/>
    </xf>
    <xf numFmtId="0" fontId="7" fillId="2" borderId="9" xfId="0" applyFont="1" applyFill="1" applyBorder="1" applyAlignment="1" applyProtection="1">
      <alignment horizontal="center"/>
      <protection hidden="1" locked="0"/>
    </xf>
    <xf numFmtId="170" fontId="6" fillId="2" borderId="10" xfId="0" applyNumberFormat="1" applyFont="1" applyFill="1" applyBorder="1" applyAlignment="1" applyProtection="1">
      <alignment horizontal="center"/>
      <protection hidden="1" locked="0"/>
    </xf>
    <xf numFmtId="0" fontId="7" fillId="2" borderId="10" xfId="0" applyFont="1" applyFill="1" applyBorder="1" applyAlignment="1" applyProtection="1">
      <alignment horizontal="center"/>
      <protection hidden="1"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>
      <alignment horizontal="center"/>
    </xf>
    <xf numFmtId="0" fontId="8" fillId="2" borderId="7" xfId="0" applyFont="1" applyFill="1" applyBorder="1" applyAlignment="1" applyProtection="1">
      <alignment horizontal="center"/>
      <protection locked="0"/>
    </xf>
    <xf numFmtId="0" fontId="7" fillId="2" borderId="8" xfId="0" applyFont="1" applyFill="1" applyBorder="1" applyAlignment="1">
      <alignment horizontal="center"/>
    </xf>
    <xf numFmtId="9" fontId="0" fillId="0" borderId="0" xfId="0" applyNumberFormat="1" applyBorder="1" applyAlignment="1" applyProtection="1">
      <alignment/>
      <protection locked="0"/>
    </xf>
    <xf numFmtId="0" fontId="0" fillId="0" borderId="3" xfId="0" applyFont="1" applyBorder="1" applyAlignment="1" applyProtection="1">
      <alignment/>
      <protection locked="0"/>
    </xf>
    <xf numFmtId="0" fontId="0" fillId="0" borderId="8" xfId="0" applyFont="1" applyBorder="1" applyAlignment="1" applyProtection="1">
      <alignment/>
      <protection locked="0"/>
    </xf>
    <xf numFmtId="0" fontId="0" fillId="0" borderId="6" xfId="0" applyFont="1" applyBorder="1" applyAlignment="1" applyProtection="1">
      <alignment/>
      <protection locked="0"/>
    </xf>
    <xf numFmtId="170" fontId="0" fillId="0" borderId="2" xfId="0" applyNumberFormat="1" applyBorder="1" applyAlignment="1" applyProtection="1">
      <alignment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70" fontId="6" fillId="2" borderId="11" xfId="0" applyNumberFormat="1" applyFont="1" applyFill="1" applyBorder="1" applyAlignment="1" applyProtection="1">
      <alignment horizontal="center"/>
      <protection hidden="1" locked="0"/>
    </xf>
    <xf numFmtId="0" fontId="7" fillId="2" borderId="11" xfId="0" applyFont="1" applyFill="1" applyBorder="1" applyAlignment="1" applyProtection="1">
      <alignment horizontal="center"/>
      <protection hidden="1" locked="0"/>
    </xf>
    <xf numFmtId="0" fontId="8" fillId="2" borderId="4" xfId="0" applyFont="1" applyFill="1" applyBorder="1" applyAlignment="1" applyProtection="1">
      <alignment horizontal="center"/>
      <protection locked="0"/>
    </xf>
    <xf numFmtId="0" fontId="10" fillId="5" borderId="13" xfId="0" applyFont="1" applyFill="1" applyBorder="1" applyAlignment="1" applyProtection="1">
      <alignment horizontal="center"/>
      <protection locked="0"/>
    </xf>
    <xf numFmtId="0" fontId="12" fillId="5" borderId="12" xfId="0" applyFont="1" applyFill="1" applyBorder="1" applyAlignment="1">
      <alignment horizontal="center"/>
    </xf>
    <xf numFmtId="0" fontId="13" fillId="5" borderId="12" xfId="0" applyFont="1" applyFill="1" applyBorder="1" applyAlignment="1">
      <alignment horizontal="center"/>
    </xf>
    <xf numFmtId="0" fontId="6" fillId="6" borderId="13" xfId="0" applyFont="1" applyFill="1" applyBorder="1" applyAlignment="1" applyProtection="1">
      <alignment horizontal="center"/>
      <protection locked="0"/>
    </xf>
    <xf numFmtId="0" fontId="6" fillId="6" borderId="12" xfId="0" applyFont="1" applyFill="1" applyBorder="1" applyAlignment="1" applyProtection="1">
      <alignment horizontal="center"/>
      <protection locked="0"/>
    </xf>
    <xf numFmtId="0" fontId="6" fillId="7" borderId="11" xfId="0" applyFont="1" applyFill="1" applyBorder="1" applyAlignment="1" applyProtection="1">
      <alignment horizontal="center"/>
      <protection locked="0"/>
    </xf>
    <xf numFmtId="0" fontId="2" fillId="7" borderId="13" xfId="0" applyFont="1" applyFill="1" applyBorder="1" applyAlignment="1" applyProtection="1">
      <alignment horizontal="center"/>
      <protection locked="0"/>
    </xf>
    <xf numFmtId="0" fontId="2" fillId="7" borderId="14" xfId="0" applyFont="1" applyFill="1" applyBorder="1" applyAlignment="1" applyProtection="1">
      <alignment horizontal="center"/>
      <protection locked="0"/>
    </xf>
    <xf numFmtId="0" fontId="2" fillId="7" borderId="14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6" fillId="7" borderId="13" xfId="0" applyFont="1" applyFill="1" applyBorder="1" applyAlignment="1" applyProtection="1">
      <alignment horizontal="center"/>
      <protection locked="0"/>
    </xf>
    <xf numFmtId="0" fontId="7" fillId="7" borderId="12" xfId="0" applyFont="1" applyFill="1" applyBorder="1" applyAlignment="1">
      <alignment horizontal="center"/>
    </xf>
    <xf numFmtId="0" fontId="6" fillId="6" borderId="13" xfId="0" applyFont="1" applyFill="1" applyBorder="1" applyAlignment="1" applyProtection="1">
      <alignment/>
      <protection locked="0"/>
    </xf>
    <xf numFmtId="0" fontId="7" fillId="6" borderId="14" xfId="0" applyFont="1" applyFill="1" applyBorder="1" applyAlignment="1" applyProtection="1">
      <alignment/>
      <protection locked="0"/>
    </xf>
    <xf numFmtId="0" fontId="6" fillId="7" borderId="13" xfId="0" applyFont="1" applyFill="1" applyBorder="1" applyAlignment="1" applyProtection="1">
      <alignment horizontal="center" wrapText="1"/>
      <protection locked="0"/>
    </xf>
    <xf numFmtId="0" fontId="9" fillId="2" borderId="1" xfId="0" applyFont="1" applyFill="1" applyBorder="1" applyAlignment="1" applyProtection="1">
      <alignment horizontal="center" wrapText="1"/>
      <protection locked="0"/>
    </xf>
    <xf numFmtId="0" fontId="9" fillId="2" borderId="7" xfId="0" applyFont="1" applyFill="1" applyBorder="1" applyAlignment="1" applyProtection="1">
      <alignment horizontal="center" wrapText="1"/>
      <protection locked="0"/>
    </xf>
    <xf numFmtId="0" fontId="9" fillId="2" borderId="4" xfId="0" applyFont="1" applyFill="1" applyBorder="1" applyAlignment="1" applyProtection="1">
      <alignment horizontal="center" wrapText="1"/>
      <protection locked="0"/>
    </xf>
    <xf numFmtId="0" fontId="9" fillId="3" borderId="1" xfId="0" applyFont="1" applyFill="1" applyBorder="1" applyAlignment="1" applyProtection="1">
      <alignment horizontal="center" wrapText="1"/>
      <protection locked="0"/>
    </xf>
    <xf numFmtId="0" fontId="9" fillId="3" borderId="7" xfId="0" applyFont="1" applyFill="1" applyBorder="1" applyAlignment="1" applyProtection="1">
      <alignment horizontal="center" wrapText="1"/>
      <protection locked="0"/>
    </xf>
    <xf numFmtId="0" fontId="9" fillId="3" borderId="4" xfId="0" applyFont="1" applyFill="1" applyBorder="1" applyAlignment="1" applyProtection="1">
      <alignment horizontal="center" wrapText="1"/>
      <protection locked="0"/>
    </xf>
    <xf numFmtId="0" fontId="11" fillId="3" borderId="1" xfId="0" applyFont="1" applyFill="1" applyBorder="1" applyAlignment="1" applyProtection="1">
      <alignment horizontal="center" wrapText="1"/>
      <protection locked="0"/>
    </xf>
    <xf numFmtId="0" fontId="11" fillId="3" borderId="7" xfId="0" applyFont="1" applyFill="1" applyBorder="1" applyAlignment="1" applyProtection="1">
      <alignment horizontal="center" wrapText="1"/>
      <protection locked="0"/>
    </xf>
    <xf numFmtId="0" fontId="11" fillId="3" borderId="4" xfId="0" applyFont="1" applyFill="1" applyBorder="1" applyAlignment="1" applyProtection="1">
      <alignment horizontal="center" wrapText="1"/>
      <protection locked="0"/>
    </xf>
    <xf numFmtId="0" fontId="6" fillId="7" borderId="15" xfId="0" applyFont="1" applyFill="1" applyBorder="1" applyAlignment="1" applyProtection="1">
      <alignment horizontal="center" wrapText="1"/>
      <protection locked="0"/>
    </xf>
    <xf numFmtId="0" fontId="11" fillId="2" borderId="9" xfId="0" applyFont="1" applyFill="1" applyBorder="1" applyAlignment="1" applyProtection="1">
      <alignment horizontal="center" wrapText="1"/>
      <protection locked="0"/>
    </xf>
    <xf numFmtId="0" fontId="11" fillId="2" borderId="10" xfId="0" applyFont="1" applyFill="1" applyBorder="1" applyAlignment="1" applyProtection="1">
      <alignment horizontal="center" wrapText="1"/>
      <protection locked="0"/>
    </xf>
    <xf numFmtId="0" fontId="11" fillId="2" borderId="11" xfId="0" applyFont="1" applyFill="1" applyBorder="1" applyAlignment="1" applyProtection="1">
      <alignment horizontal="center" wrapText="1"/>
      <protection locked="0"/>
    </xf>
    <xf numFmtId="0" fontId="0" fillId="0" borderId="11" xfId="0" applyBorder="1" applyAlignment="1">
      <alignment horizontal="center" vertical="top" wrapText="1"/>
    </xf>
    <xf numFmtId="0" fontId="2" fillId="4" borderId="13" xfId="0" applyFont="1" applyFill="1" applyBorder="1" applyAlignment="1" applyProtection="1">
      <alignment horizontal="center"/>
      <protection locked="0"/>
    </xf>
    <xf numFmtId="0" fontId="2" fillId="4" borderId="14" xfId="0" applyFont="1" applyFill="1" applyBorder="1" applyAlignment="1" applyProtection="1">
      <alignment horizontal="center"/>
      <protection locked="0"/>
    </xf>
    <xf numFmtId="0" fontId="2" fillId="4" borderId="12" xfId="0" applyFont="1" applyFill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" fillId="7" borderId="14" xfId="0" applyFont="1" applyFill="1" applyBorder="1" applyAlignment="1" applyProtection="1">
      <alignment horizontal="center" wrapText="1"/>
      <protection locked="0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0" xfId="0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6" fillId="3" borderId="1" xfId="0" applyFont="1" applyFill="1" applyBorder="1" applyAlignment="1" applyProtection="1">
      <alignment horizontal="center" wrapText="1"/>
      <protection locked="0"/>
    </xf>
    <xf numFmtId="0" fontId="6" fillId="3" borderId="7" xfId="0" applyFont="1" applyFill="1" applyBorder="1" applyAlignment="1" applyProtection="1">
      <alignment horizontal="center" wrapText="1"/>
      <protection locked="0"/>
    </xf>
    <xf numFmtId="0" fontId="6" fillId="3" borderId="4" xfId="0" applyFont="1" applyFill="1" applyBorder="1" applyAlignment="1" applyProtection="1">
      <alignment horizontal="center" wrapText="1"/>
      <protection locked="0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0" fillId="5" borderId="13" xfId="0" applyFont="1" applyFill="1" applyBorder="1" applyAlignment="1" applyProtection="1">
      <alignment horizontal="left"/>
      <protection locked="0"/>
    </xf>
    <xf numFmtId="0" fontId="12" fillId="5" borderId="14" xfId="0" applyFont="1" applyFill="1" applyBorder="1" applyAlignment="1">
      <alignment/>
    </xf>
    <xf numFmtId="0" fontId="8" fillId="2" borderId="6" xfId="0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workbookViewId="0" topLeftCell="A2">
      <selection activeCell="B32" sqref="B32"/>
    </sheetView>
  </sheetViews>
  <sheetFormatPr defaultColWidth="9.140625" defaultRowHeight="12.75"/>
  <cols>
    <col min="8" max="8" width="11.28125" style="0" customWidth="1"/>
    <col min="12" max="12" width="9.140625" style="2" customWidth="1"/>
  </cols>
  <sheetData>
    <row r="1" ht="12.75">
      <c r="A1" t="s">
        <v>22</v>
      </c>
    </row>
    <row r="2" spans="2:12" ht="12.75">
      <c r="B2" t="s">
        <v>9</v>
      </c>
      <c r="C2" t="s">
        <v>10</v>
      </c>
      <c r="D2">
        <v>1100</v>
      </c>
      <c r="E2" t="s">
        <v>11</v>
      </c>
      <c r="F2">
        <v>66</v>
      </c>
      <c r="G2" t="s">
        <v>25</v>
      </c>
      <c r="H2">
        <v>125</v>
      </c>
      <c r="I2" t="s">
        <v>12</v>
      </c>
      <c r="J2">
        <v>32</v>
      </c>
      <c r="K2" s="2" t="s">
        <v>25</v>
      </c>
      <c r="L2"/>
    </row>
    <row r="3" spans="2:13" ht="12.75">
      <c r="B3" t="s">
        <v>0</v>
      </c>
      <c r="D3" t="s">
        <v>1</v>
      </c>
      <c r="E3" s="1">
        <v>0.12</v>
      </c>
      <c r="F3" t="s">
        <v>13</v>
      </c>
      <c r="G3" t="s">
        <v>14</v>
      </c>
      <c r="H3" t="s">
        <v>4</v>
      </c>
      <c r="I3" t="s">
        <v>5</v>
      </c>
      <c r="J3" t="s">
        <v>15</v>
      </c>
      <c r="K3" s="2" t="s">
        <v>6</v>
      </c>
      <c r="L3" t="s">
        <v>7</v>
      </c>
      <c r="M3" t="s">
        <v>8</v>
      </c>
    </row>
    <row r="4" spans="11:12" ht="12.75">
      <c r="K4" s="2"/>
      <c r="L4"/>
    </row>
    <row r="5" spans="1:13" ht="12.75">
      <c r="A5" t="s">
        <v>2</v>
      </c>
      <c r="B5">
        <v>2.5</v>
      </c>
      <c r="D5">
        <f>D2*B5+F2</f>
        <v>2816</v>
      </c>
      <c r="E5">
        <f>ROUND(D5*E3,0)</f>
        <v>338</v>
      </c>
      <c r="F5">
        <v>140</v>
      </c>
      <c r="G5">
        <f>E5-F5</f>
        <v>198</v>
      </c>
      <c r="H5">
        <v>5</v>
      </c>
      <c r="I5">
        <f>ROUND(G5/H5,0)</f>
        <v>40</v>
      </c>
      <c r="J5">
        <f>ROUND(I5/5+0.5,0)*5</f>
        <v>45</v>
      </c>
      <c r="K5" s="2">
        <v>3</v>
      </c>
      <c r="L5">
        <f>K5*J5</f>
        <v>135</v>
      </c>
      <c r="M5">
        <f>L5*1.2</f>
        <v>162</v>
      </c>
    </row>
    <row r="6" spans="1:13" ht="12.75">
      <c r="A6" t="s">
        <v>20</v>
      </c>
      <c r="B6" s="1">
        <v>0.1</v>
      </c>
      <c r="C6" t="s">
        <v>24</v>
      </c>
      <c r="E6">
        <f>ROUND(E5*B6,0)</f>
        <v>34</v>
      </c>
      <c r="F6">
        <v>0</v>
      </c>
      <c r="G6">
        <f>E6-F6</f>
        <v>34</v>
      </c>
      <c r="H6">
        <v>5</v>
      </c>
      <c r="I6">
        <f>ROUND(G6/H6,0)</f>
        <v>7</v>
      </c>
      <c r="J6">
        <f>ROUND(I6/5+0.5,0)*5</f>
        <v>10</v>
      </c>
      <c r="K6" s="2">
        <v>3</v>
      </c>
      <c r="L6">
        <f>K6*J6</f>
        <v>30</v>
      </c>
      <c r="M6">
        <f>L6*1.2</f>
        <v>36</v>
      </c>
    </row>
    <row r="7" spans="1:13" ht="12.75">
      <c r="A7" t="s">
        <v>3</v>
      </c>
      <c r="D7">
        <f>H2*B5+J2</f>
        <v>344.5</v>
      </c>
      <c r="E7">
        <f>ROUND(D7*E3,0)</f>
        <v>41</v>
      </c>
      <c r="F7">
        <v>14</v>
      </c>
      <c r="G7">
        <f>E7-F7</f>
        <v>27</v>
      </c>
      <c r="H7">
        <v>3.5</v>
      </c>
      <c r="I7">
        <f>ROUND(G7/H7,0)</f>
        <v>8</v>
      </c>
      <c r="J7">
        <f>I7</f>
        <v>8</v>
      </c>
      <c r="K7" s="2">
        <v>12</v>
      </c>
      <c r="L7">
        <f>K7*J7</f>
        <v>96</v>
      </c>
      <c r="M7">
        <f>L7*1.2</f>
        <v>115.19999999999999</v>
      </c>
    </row>
    <row r="8" spans="11:12" ht="12.75">
      <c r="K8" s="2"/>
      <c r="L8"/>
    </row>
    <row r="9" spans="2:13" ht="12.75">
      <c r="B9" t="s">
        <v>16</v>
      </c>
      <c r="C9" t="s">
        <v>17</v>
      </c>
      <c r="K9" s="2"/>
      <c r="L9" t="s">
        <v>18</v>
      </c>
      <c r="M9">
        <f>M5+M6+M7</f>
        <v>313.2</v>
      </c>
    </row>
    <row r="10" spans="2:12" ht="12.75">
      <c r="B10">
        <v>2004</v>
      </c>
      <c r="C10">
        <v>2.5</v>
      </c>
      <c r="K10" s="2"/>
      <c r="L10"/>
    </row>
    <row r="11" spans="2:14" ht="12.75">
      <c r="B11">
        <v>2005</v>
      </c>
      <c r="C11">
        <v>4.1</v>
      </c>
      <c r="K11" s="2"/>
      <c r="L11" t="s">
        <v>21</v>
      </c>
      <c r="M11">
        <v>310</v>
      </c>
      <c r="N11" t="s">
        <v>27</v>
      </c>
    </row>
    <row r="12" spans="3:5" ht="12.75">
      <c r="C12" t="s">
        <v>19</v>
      </c>
      <c r="E12">
        <f>(C10+C11)/2</f>
        <v>3.3</v>
      </c>
    </row>
    <row r="15" ht="12.75">
      <c r="A15" t="s">
        <v>23</v>
      </c>
    </row>
    <row r="16" spans="2:12" ht="12.75">
      <c r="B16" t="s">
        <v>9</v>
      </c>
      <c r="C16" t="s">
        <v>10</v>
      </c>
      <c r="D16">
        <v>1100</v>
      </c>
      <c r="E16" t="s">
        <v>11</v>
      </c>
      <c r="F16">
        <v>66</v>
      </c>
      <c r="G16" t="s">
        <v>25</v>
      </c>
      <c r="H16">
        <v>125</v>
      </c>
      <c r="I16" t="s">
        <v>12</v>
      </c>
      <c r="J16">
        <v>32</v>
      </c>
      <c r="K16" s="2" t="s">
        <v>25</v>
      </c>
      <c r="L16"/>
    </row>
    <row r="17" spans="2:13" ht="12.75">
      <c r="B17" t="s">
        <v>0</v>
      </c>
      <c r="D17" t="s">
        <v>1</v>
      </c>
      <c r="E17" s="1">
        <v>0.15</v>
      </c>
      <c r="F17" t="s">
        <v>13</v>
      </c>
      <c r="G17" t="s">
        <v>14</v>
      </c>
      <c r="H17" t="s">
        <v>4</v>
      </c>
      <c r="I17" t="s">
        <v>5</v>
      </c>
      <c r="J17" t="s">
        <v>15</v>
      </c>
      <c r="K17" s="2" t="s">
        <v>6</v>
      </c>
      <c r="L17" t="s">
        <v>7</v>
      </c>
      <c r="M17" t="s">
        <v>8</v>
      </c>
    </row>
    <row r="18" spans="11:12" ht="12.75">
      <c r="K18" s="2"/>
      <c r="L18"/>
    </row>
    <row r="19" spans="1:13" ht="12.75">
      <c r="A19" t="s">
        <v>2</v>
      </c>
      <c r="B19">
        <v>3.3</v>
      </c>
      <c r="D19">
        <f>D16*B19+F16</f>
        <v>3696</v>
      </c>
      <c r="E19">
        <f>ROUND(D19*E17,0)</f>
        <v>554</v>
      </c>
      <c r="F19">
        <v>140</v>
      </c>
      <c r="G19">
        <f>E19-F19</f>
        <v>414</v>
      </c>
      <c r="H19">
        <v>5</v>
      </c>
      <c r="I19">
        <f>ROUND(G19/H19,0)</f>
        <v>83</v>
      </c>
      <c r="J19">
        <f>ROUND(I19/5+0.5,0)*5</f>
        <v>85</v>
      </c>
      <c r="K19" s="2">
        <v>2.5</v>
      </c>
      <c r="L19">
        <f>K19*J19</f>
        <v>212.5</v>
      </c>
      <c r="M19">
        <f>L19*1.2</f>
        <v>255</v>
      </c>
    </row>
    <row r="20" spans="1:13" ht="12.75">
      <c r="A20" t="s">
        <v>20</v>
      </c>
      <c r="B20" s="1">
        <v>0.1</v>
      </c>
      <c r="C20" t="s">
        <v>24</v>
      </c>
      <c r="E20">
        <f>ROUND(E19*B20,0)</f>
        <v>55</v>
      </c>
      <c r="F20">
        <v>0</v>
      </c>
      <c r="G20">
        <f>E20-F20</f>
        <v>55</v>
      </c>
      <c r="H20">
        <v>5</v>
      </c>
      <c r="I20">
        <f>ROUND(G20/H20,0)</f>
        <v>11</v>
      </c>
      <c r="J20">
        <f>ROUND(I20/5+0.5,0)*5</f>
        <v>15</v>
      </c>
      <c r="K20" s="2">
        <v>2.5</v>
      </c>
      <c r="L20">
        <f>K20*J20</f>
        <v>37.5</v>
      </c>
      <c r="M20">
        <f>L20*1.2</f>
        <v>45</v>
      </c>
    </row>
    <row r="21" spans="1:13" ht="12.75">
      <c r="A21" t="s">
        <v>3</v>
      </c>
      <c r="D21">
        <f>H16*B19+J16</f>
        <v>444.5</v>
      </c>
      <c r="E21">
        <f>ROUND(D21*E17,0)</f>
        <v>67</v>
      </c>
      <c r="F21">
        <v>14</v>
      </c>
      <c r="G21">
        <f>E21-F21</f>
        <v>53</v>
      </c>
      <c r="H21">
        <v>3.5</v>
      </c>
      <c r="I21">
        <f>ROUND(G21/H21,0)</f>
        <v>15</v>
      </c>
      <c r="J21">
        <f>I21</f>
        <v>15</v>
      </c>
      <c r="K21" s="2">
        <v>12</v>
      </c>
      <c r="L21">
        <f>K21*J21</f>
        <v>180</v>
      </c>
      <c r="M21">
        <f>L21*1.2</f>
        <v>216</v>
      </c>
    </row>
    <row r="22" spans="11:12" ht="12.75">
      <c r="K22" s="2"/>
      <c r="L22"/>
    </row>
    <row r="23" spans="2:13" ht="12.75">
      <c r="B23" t="s">
        <v>16</v>
      </c>
      <c r="C23" t="s">
        <v>17</v>
      </c>
      <c r="K23" s="2"/>
      <c r="L23" t="s">
        <v>18</v>
      </c>
      <c r="M23">
        <f>M19+M20+M21</f>
        <v>516</v>
      </c>
    </row>
    <row r="24" spans="2:12" ht="12.75">
      <c r="B24">
        <v>2004</v>
      </c>
      <c r="C24">
        <v>2.5</v>
      </c>
      <c r="K24" s="2"/>
      <c r="L24"/>
    </row>
    <row r="25" spans="2:14" ht="12.75">
      <c r="B25">
        <v>2005</v>
      </c>
      <c r="C25">
        <v>4.1</v>
      </c>
      <c r="K25" s="2"/>
      <c r="L25" t="s">
        <v>21</v>
      </c>
      <c r="M25">
        <v>550</v>
      </c>
      <c r="N25" t="s">
        <v>26</v>
      </c>
    </row>
    <row r="26" spans="3:5" ht="12.75">
      <c r="C26" t="s">
        <v>19</v>
      </c>
      <c r="E26">
        <f>(C24+C25)/2</f>
        <v>3.3</v>
      </c>
    </row>
    <row r="28" ht="12.75">
      <c r="A28" t="s">
        <v>28</v>
      </c>
    </row>
    <row r="29" spans="2:14" ht="12.75">
      <c r="B29" t="s">
        <v>29</v>
      </c>
      <c r="C29" t="s">
        <v>30</v>
      </c>
      <c r="D29" t="s">
        <v>31</v>
      </c>
      <c r="E29" t="s">
        <v>38</v>
      </c>
      <c r="F29" t="s">
        <v>32</v>
      </c>
      <c r="G29" t="s">
        <v>33</v>
      </c>
      <c r="H29" t="s">
        <v>34</v>
      </c>
      <c r="I29" t="s">
        <v>37</v>
      </c>
      <c r="J29" t="s">
        <v>59</v>
      </c>
      <c r="K29" s="2" t="s">
        <v>53</v>
      </c>
      <c r="L29" s="2" t="s">
        <v>52</v>
      </c>
      <c r="M29" s="2" t="s">
        <v>51</v>
      </c>
      <c r="N29" s="2" t="s">
        <v>54</v>
      </c>
    </row>
    <row r="30" spans="1:14" ht="12.75">
      <c r="A30" t="s">
        <v>35</v>
      </c>
      <c r="B30">
        <v>10</v>
      </c>
      <c r="C30">
        <v>1.2</v>
      </c>
      <c r="D30">
        <f>ROUND(B30*2*C30,0)</f>
        <v>24</v>
      </c>
      <c r="E30">
        <f>D30</f>
        <v>24</v>
      </c>
      <c r="F30">
        <v>4</v>
      </c>
      <c r="G30">
        <v>2.2</v>
      </c>
      <c r="H30">
        <f>ROUND(F30*G30,0)</f>
        <v>9</v>
      </c>
      <c r="I30">
        <f>H30</f>
        <v>9</v>
      </c>
      <c r="J30">
        <v>0.3</v>
      </c>
      <c r="K30" s="2">
        <f>ROUND(B30*2.5,0)</f>
        <v>25</v>
      </c>
      <c r="L30">
        <f>F30*11</f>
        <v>44</v>
      </c>
      <c r="M30">
        <f>K30+L30</f>
        <v>69</v>
      </c>
      <c r="N30">
        <f>ROUND(M30*1.2,0)</f>
        <v>83</v>
      </c>
    </row>
    <row r="31" spans="1:14" ht="12.75">
      <c r="A31" t="s">
        <v>36</v>
      </c>
      <c r="B31">
        <v>65</v>
      </c>
      <c r="C31">
        <v>1.2</v>
      </c>
      <c r="D31">
        <f>ROUND(B31*2*C31,0)</f>
        <v>156</v>
      </c>
      <c r="E31">
        <f>E30+D31</f>
        <v>180</v>
      </c>
      <c r="F31">
        <v>3</v>
      </c>
      <c r="G31">
        <v>2.2</v>
      </c>
      <c r="H31">
        <f>ROUND(F31*G31,0)</f>
        <v>7</v>
      </c>
      <c r="I31">
        <f>I30+H31</f>
        <v>16</v>
      </c>
      <c r="J31">
        <v>1.2</v>
      </c>
      <c r="K31" s="2">
        <f>ROUND(B31*2.5,0)</f>
        <v>163</v>
      </c>
      <c r="L31">
        <f>F31*12</f>
        <v>36</v>
      </c>
      <c r="M31">
        <f>K31+L31</f>
        <v>199</v>
      </c>
      <c r="N31">
        <f aca="true" t="shared" si="0" ref="N31:N38">ROUND(M31*1.2,0)</f>
        <v>239</v>
      </c>
    </row>
    <row r="32" spans="1:14" ht="12.75">
      <c r="A32" s="3">
        <v>2003</v>
      </c>
      <c r="B32">
        <v>30</v>
      </c>
      <c r="C32">
        <v>2.5</v>
      </c>
      <c r="D32">
        <f>ROUND(B32*2*C32,0)</f>
        <v>150</v>
      </c>
      <c r="E32">
        <f>E31+D32</f>
        <v>330</v>
      </c>
      <c r="F32">
        <v>4</v>
      </c>
      <c r="G32">
        <v>3.5</v>
      </c>
      <c r="H32">
        <f>ROUND(F32*G32,0)</f>
        <v>14</v>
      </c>
      <c r="I32">
        <f>I31+H32</f>
        <v>30</v>
      </c>
      <c r="J32">
        <v>2.5</v>
      </c>
      <c r="K32" s="2">
        <f>ROUND(B32*2.5,0)</f>
        <v>75</v>
      </c>
      <c r="L32">
        <f>F32*12</f>
        <v>48</v>
      </c>
      <c r="M32">
        <f>K32+L32</f>
        <v>123</v>
      </c>
      <c r="N32">
        <f t="shared" si="0"/>
        <v>148</v>
      </c>
    </row>
    <row r="33" spans="1:15" ht="12.75">
      <c r="A33" s="3">
        <v>2004</v>
      </c>
      <c r="B33">
        <v>25</v>
      </c>
      <c r="C33">
        <v>2.5</v>
      </c>
      <c r="D33">
        <f>ROUND(B33*2*C33,0)</f>
        <v>125</v>
      </c>
      <c r="E33">
        <f>E32+D33</f>
        <v>455</v>
      </c>
      <c r="F33">
        <v>4</v>
      </c>
      <c r="G33">
        <v>3.5</v>
      </c>
      <c r="H33">
        <f>ROUND(F33*G33,0)</f>
        <v>14</v>
      </c>
      <c r="I33">
        <f>I32+H33</f>
        <v>44</v>
      </c>
      <c r="J33">
        <v>3.3</v>
      </c>
      <c r="K33" s="2">
        <f>ROUND(B33*2.5,0)</f>
        <v>63</v>
      </c>
      <c r="L33">
        <f>F33*12</f>
        <v>48</v>
      </c>
      <c r="M33">
        <f>K33+L33</f>
        <v>111</v>
      </c>
      <c r="N33">
        <f t="shared" si="0"/>
        <v>133</v>
      </c>
      <c r="O33">
        <f>N32+N33</f>
        <v>281</v>
      </c>
    </row>
    <row r="34" spans="1:15" ht="12.75">
      <c r="A34" t="s">
        <v>39</v>
      </c>
      <c r="B34">
        <v>45</v>
      </c>
      <c r="C34">
        <v>2.5</v>
      </c>
      <c r="D34">
        <f>ROUND(B34*2*C34,0)</f>
        <v>225</v>
      </c>
      <c r="E34">
        <f>E33+D34</f>
        <v>680</v>
      </c>
      <c r="F34">
        <v>7</v>
      </c>
      <c r="G34">
        <v>3.5</v>
      </c>
      <c r="H34">
        <f>ROUND(F34*G34,0)</f>
        <v>25</v>
      </c>
      <c r="I34">
        <f>I33+H34</f>
        <v>69</v>
      </c>
      <c r="J34">
        <v>4.1</v>
      </c>
      <c r="K34" s="2">
        <f>ROUND(B34*2.5,0)</f>
        <v>113</v>
      </c>
      <c r="L34">
        <f>F34*12</f>
        <v>84</v>
      </c>
      <c r="M34">
        <f>K34+L34</f>
        <v>197</v>
      </c>
      <c r="N34">
        <f t="shared" si="0"/>
        <v>236</v>
      </c>
      <c r="O34">
        <f>O33+N34</f>
        <v>517</v>
      </c>
    </row>
    <row r="35" spans="10:14" ht="12.75">
      <c r="J35" t="s">
        <v>55</v>
      </c>
      <c r="K35" s="2">
        <f>SUM(K30:K34)</f>
        <v>439</v>
      </c>
      <c r="L35" s="2">
        <f>SUM(L30:L34)</f>
        <v>260</v>
      </c>
      <c r="M35" s="2">
        <f>SUM(M30:M34)</f>
        <v>699</v>
      </c>
      <c r="N35" s="2">
        <f>SUM(N30:N34)</f>
        <v>839</v>
      </c>
    </row>
    <row r="36" spans="10:14" ht="12.75">
      <c r="J36" t="s">
        <v>56</v>
      </c>
      <c r="K36" s="2"/>
      <c r="L36"/>
      <c r="M36">
        <v>40</v>
      </c>
      <c r="N36">
        <f t="shared" si="0"/>
        <v>48</v>
      </c>
    </row>
    <row r="37" spans="10:14" ht="12.75">
      <c r="J37" t="s">
        <v>57</v>
      </c>
      <c r="K37" s="2"/>
      <c r="L37"/>
      <c r="M37">
        <f>M35+M36</f>
        <v>739</v>
      </c>
      <c r="N37">
        <f t="shared" si="0"/>
        <v>887</v>
      </c>
    </row>
    <row r="38" spans="10:14" ht="12.75">
      <c r="J38" t="s">
        <v>58</v>
      </c>
      <c r="K38" s="2"/>
      <c r="L38"/>
      <c r="M38">
        <f>1000-M37</f>
        <v>261</v>
      </c>
      <c r="N38">
        <f t="shared" si="0"/>
        <v>313</v>
      </c>
    </row>
    <row r="39" spans="2:8" ht="12.75">
      <c r="B39">
        <v>2002</v>
      </c>
      <c r="C39" t="s">
        <v>40</v>
      </c>
      <c r="D39" t="s">
        <v>41</v>
      </c>
      <c r="E39" t="s">
        <v>42</v>
      </c>
      <c r="F39" t="s">
        <v>43</v>
      </c>
      <c r="G39" t="s">
        <v>44</v>
      </c>
      <c r="H39" t="s">
        <v>45</v>
      </c>
    </row>
    <row r="40" spans="3:8" ht="12.75">
      <c r="C40">
        <v>8</v>
      </c>
      <c r="D40">
        <f>C40*10</f>
        <v>80</v>
      </c>
      <c r="E40">
        <v>20</v>
      </c>
      <c r="F40">
        <f>(D40-E40)/2</f>
        <v>30</v>
      </c>
      <c r="G40">
        <f>2.5*F40</f>
        <v>75</v>
      </c>
      <c r="H40">
        <f>G40*1.2</f>
        <v>90</v>
      </c>
    </row>
    <row r="42" spans="3:4" ht="12.75">
      <c r="C42" t="s">
        <v>46</v>
      </c>
      <c r="D42" t="s">
        <v>47</v>
      </c>
    </row>
    <row r="43" ht="12.75">
      <c r="D43">
        <f>125*0.12*1</f>
        <v>15</v>
      </c>
    </row>
    <row r="44" ht="12.75">
      <c r="A44" t="s">
        <v>49</v>
      </c>
    </row>
    <row r="45" ht="12.75">
      <c r="A45" t="s">
        <v>48</v>
      </c>
    </row>
    <row r="46" ht="12.75">
      <c r="A46" t="s">
        <v>50</v>
      </c>
    </row>
    <row r="48" spans="1:7" ht="12.75">
      <c r="A48" t="s">
        <v>60</v>
      </c>
      <c r="D48" t="s">
        <v>71</v>
      </c>
      <c r="E48">
        <f>125*12%</f>
        <v>15</v>
      </c>
      <c r="F48" t="s">
        <v>72</v>
      </c>
      <c r="G48">
        <f>125*15%</f>
        <v>18.75</v>
      </c>
    </row>
    <row r="50" spans="1:9" ht="12.75">
      <c r="A50" t="s">
        <v>61</v>
      </c>
      <c r="B50" t="s">
        <v>62</v>
      </c>
      <c r="C50" t="s">
        <v>63</v>
      </c>
      <c r="D50" t="s">
        <v>67</v>
      </c>
      <c r="E50" t="s">
        <v>68</v>
      </c>
      <c r="F50" t="s">
        <v>69</v>
      </c>
      <c r="G50" t="s">
        <v>64</v>
      </c>
      <c r="H50" t="s">
        <v>70</v>
      </c>
      <c r="I50" t="s">
        <v>66</v>
      </c>
    </row>
    <row r="51" spans="1:9" ht="12.75">
      <c r="A51">
        <v>2</v>
      </c>
      <c r="B51">
        <v>0.3</v>
      </c>
      <c r="C51">
        <v>1.2</v>
      </c>
      <c r="D51">
        <v>1</v>
      </c>
      <c r="E51">
        <v>160</v>
      </c>
      <c r="F51">
        <v>16</v>
      </c>
      <c r="G51">
        <v>16</v>
      </c>
      <c r="H51">
        <v>180</v>
      </c>
      <c r="I51">
        <f>N31+N30</f>
        <v>322</v>
      </c>
    </row>
    <row r="52" spans="1:9" ht="12.75">
      <c r="A52">
        <v>3</v>
      </c>
      <c r="B52">
        <v>1.2</v>
      </c>
      <c r="C52">
        <v>2.5</v>
      </c>
      <c r="D52">
        <v>2</v>
      </c>
      <c r="E52">
        <v>320</v>
      </c>
      <c r="F52">
        <v>32</v>
      </c>
      <c r="G52">
        <v>30</v>
      </c>
      <c r="H52">
        <v>330</v>
      </c>
      <c r="I52">
        <f>N32</f>
        <v>148</v>
      </c>
    </row>
    <row r="53" spans="1:9" ht="12.75">
      <c r="A53">
        <v>4</v>
      </c>
      <c r="B53">
        <v>2.5</v>
      </c>
      <c r="C53">
        <v>4.1</v>
      </c>
      <c r="D53">
        <v>3.5</v>
      </c>
      <c r="E53">
        <v>480</v>
      </c>
      <c r="F53">
        <v>48</v>
      </c>
      <c r="G53">
        <v>44</v>
      </c>
      <c r="H53">
        <v>455</v>
      </c>
      <c r="I53">
        <f>N33</f>
        <v>133</v>
      </c>
    </row>
    <row r="54" spans="1:9" ht="12.75">
      <c r="A54">
        <v>5</v>
      </c>
      <c r="B54">
        <v>4.1</v>
      </c>
      <c r="C54">
        <v>6.1</v>
      </c>
      <c r="D54">
        <v>5</v>
      </c>
      <c r="E54">
        <v>800</v>
      </c>
      <c r="F54">
        <v>80</v>
      </c>
      <c r="G54">
        <v>69</v>
      </c>
      <c r="H54">
        <v>680</v>
      </c>
      <c r="I54">
        <f>N34</f>
        <v>236</v>
      </c>
    </row>
    <row r="55" spans="1:9" ht="12.75">
      <c r="A55">
        <v>6</v>
      </c>
      <c r="H55" t="s">
        <v>73</v>
      </c>
      <c r="I55">
        <f>SUM(I51:I54)</f>
        <v>839</v>
      </c>
    </row>
    <row r="59" ht="12.75">
      <c r="A59" t="s">
        <v>77</v>
      </c>
    </row>
    <row r="60" ht="12.75">
      <c r="A60" t="s">
        <v>74</v>
      </c>
    </row>
    <row r="61" spans="1:11" ht="12.75">
      <c r="A61" t="s">
        <v>61</v>
      </c>
      <c r="B61" t="s">
        <v>62</v>
      </c>
      <c r="C61" t="s">
        <v>63</v>
      </c>
      <c r="D61" t="s">
        <v>75</v>
      </c>
      <c r="E61" t="s">
        <v>65</v>
      </c>
      <c r="F61" t="s">
        <v>79</v>
      </c>
      <c r="G61" t="s">
        <v>78</v>
      </c>
      <c r="H61" t="s">
        <v>76</v>
      </c>
      <c r="I61" t="s">
        <v>81</v>
      </c>
      <c r="J61" t="s">
        <v>80</v>
      </c>
      <c r="K61" t="s">
        <v>66</v>
      </c>
    </row>
    <row r="62" spans="1:10" ht="12.75">
      <c r="A62">
        <v>2</v>
      </c>
      <c r="B62">
        <v>0.3</v>
      </c>
      <c r="C62">
        <v>1.2</v>
      </c>
      <c r="D62">
        <v>1</v>
      </c>
      <c r="E62">
        <f>D62*125*15%</f>
        <v>18.75</v>
      </c>
      <c r="F62">
        <v>7</v>
      </c>
      <c r="G62">
        <f>F62*2.2</f>
        <v>15.400000000000002</v>
      </c>
      <c r="H62">
        <f>G62*10*1.1</f>
        <v>169.40000000000003</v>
      </c>
      <c r="I62">
        <f>H62/1.26/2</f>
        <v>67.22222222222223</v>
      </c>
      <c r="J62">
        <v>67</v>
      </c>
    </row>
    <row r="63" spans="1:9" ht="12.75">
      <c r="A63">
        <v>3</v>
      </c>
      <c r="B63">
        <v>1.2</v>
      </c>
      <c r="C63">
        <v>2.5</v>
      </c>
      <c r="D63">
        <v>2</v>
      </c>
      <c r="E63">
        <f>D63*125*15%</f>
        <v>37.5</v>
      </c>
      <c r="F63">
        <v>4</v>
      </c>
      <c r="G63">
        <f>F63*3.5+G62</f>
        <v>29.400000000000002</v>
      </c>
      <c r="H63">
        <f>G63*10*1.1</f>
        <v>323.40000000000003</v>
      </c>
      <c r="I63">
        <f>H63/1.26/2</f>
        <v>128.33333333333334</v>
      </c>
    </row>
    <row r="64" spans="1:8" ht="12.75">
      <c r="A64">
        <v>4</v>
      </c>
      <c r="B64">
        <v>2.5</v>
      </c>
      <c r="C64">
        <v>4.1</v>
      </c>
      <c r="D64">
        <v>3.5</v>
      </c>
      <c r="E64">
        <f>D64*125*15%</f>
        <v>65.625</v>
      </c>
      <c r="F64">
        <v>4</v>
      </c>
      <c r="G64">
        <f>F64*3.5+G63</f>
        <v>43.400000000000006</v>
      </c>
      <c r="H64">
        <f>G64*10*1.1</f>
        <v>477.4000000000001</v>
      </c>
    </row>
    <row r="65" spans="1:5" ht="12.75">
      <c r="A65">
        <v>5</v>
      </c>
      <c r="B65">
        <v>4.1</v>
      </c>
      <c r="C65">
        <v>6.1</v>
      </c>
      <c r="D65">
        <v>5</v>
      </c>
      <c r="E65">
        <f>D65*125*15%</f>
        <v>93.75</v>
      </c>
    </row>
    <row r="66" ht="12.75">
      <c r="A66">
        <v>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7"/>
  <sheetViews>
    <sheetView tabSelected="1" workbookViewId="0" topLeftCell="A1">
      <selection activeCell="V31" sqref="V31"/>
    </sheetView>
  </sheetViews>
  <sheetFormatPr defaultColWidth="9.140625" defaultRowHeight="12.75"/>
  <cols>
    <col min="1" max="1" width="9.140625" style="5" customWidth="1"/>
    <col min="2" max="4" width="6.7109375" style="5" customWidth="1"/>
    <col min="5" max="7" width="9.140625" style="5" customWidth="1"/>
    <col min="8" max="8" width="8.7109375" style="5" customWidth="1"/>
    <col min="9" max="17" width="9.140625" style="5" customWidth="1"/>
    <col min="18" max="18" width="9.140625" style="7" customWidth="1"/>
    <col min="19" max="16384" width="9.140625" style="5" customWidth="1"/>
  </cols>
  <sheetData>
    <row r="1" spans="1:12" ht="12.75">
      <c r="A1" s="4" t="s">
        <v>158</v>
      </c>
      <c r="K1" s="97">
        <f ca="1">NOW()</f>
        <v>37423.97099050926</v>
      </c>
      <c r="L1" s="98"/>
    </row>
    <row r="2" ht="12.75">
      <c r="A2" s="5" t="s">
        <v>105</v>
      </c>
    </row>
    <row r="3" ht="12.75">
      <c r="A3" s="5" t="s">
        <v>101</v>
      </c>
    </row>
    <row r="4" ht="12.75">
      <c r="A4" s="5" t="s">
        <v>125</v>
      </c>
    </row>
    <row r="5" ht="12.75">
      <c r="A5" s="5" t="s">
        <v>104</v>
      </c>
    </row>
    <row r="6" ht="12.75">
      <c r="A6" s="5" t="s">
        <v>102</v>
      </c>
    </row>
    <row r="7" ht="12.75">
      <c r="A7" s="5" t="s">
        <v>103</v>
      </c>
    </row>
    <row r="8" ht="12.75">
      <c r="A8" s="5" t="s">
        <v>136</v>
      </c>
    </row>
    <row r="9" ht="12.75">
      <c r="A9" s="5" t="s">
        <v>141</v>
      </c>
    </row>
    <row r="10" ht="12.75">
      <c r="A10" s="5" t="s">
        <v>142</v>
      </c>
    </row>
    <row r="11" ht="12.75">
      <c r="A11" s="5" t="s">
        <v>106</v>
      </c>
    </row>
    <row r="12" ht="12.75">
      <c r="A12" s="5" t="s">
        <v>107</v>
      </c>
    </row>
    <row r="13" ht="12.75">
      <c r="A13" s="5" t="s">
        <v>108</v>
      </c>
    </row>
    <row r="15" spans="1:18" s="9" customFormat="1" ht="12.75">
      <c r="A15" s="8" t="s">
        <v>111</v>
      </c>
      <c r="R15" s="10"/>
    </row>
    <row r="16" spans="1:18" ht="12.75">
      <c r="A16" s="11" t="s">
        <v>83</v>
      </c>
      <c r="B16" s="12">
        <v>2.5</v>
      </c>
      <c r="C16" s="12"/>
      <c r="D16" s="12" t="s">
        <v>109</v>
      </c>
      <c r="E16" s="12"/>
      <c r="F16" s="12"/>
      <c r="G16" s="12"/>
      <c r="H16" s="12">
        <v>125</v>
      </c>
      <c r="I16" s="12"/>
      <c r="J16" s="12" t="s">
        <v>137</v>
      </c>
      <c r="K16" s="12"/>
      <c r="L16" s="12"/>
      <c r="M16" s="13">
        <v>0.1</v>
      </c>
      <c r="N16" s="111"/>
      <c r="Q16" s="7"/>
      <c r="R16" s="5"/>
    </row>
    <row r="17" spans="1:18" ht="12.75">
      <c r="A17" s="14" t="s">
        <v>84</v>
      </c>
      <c r="B17" s="15">
        <v>12</v>
      </c>
      <c r="C17" s="15"/>
      <c r="D17" s="15" t="s">
        <v>110</v>
      </c>
      <c r="E17" s="15"/>
      <c r="F17" s="15"/>
      <c r="G17" s="15"/>
      <c r="H17" s="16">
        <v>0.15</v>
      </c>
      <c r="I17" s="15"/>
      <c r="J17" s="15" t="s">
        <v>118</v>
      </c>
      <c r="K17" s="15">
        <v>1.1</v>
      </c>
      <c r="L17" s="15"/>
      <c r="M17" s="17"/>
      <c r="N17" s="33"/>
      <c r="Q17" s="7"/>
      <c r="R17" s="5"/>
    </row>
    <row r="19" ht="12.75">
      <c r="A19" s="5" t="s">
        <v>138</v>
      </c>
    </row>
    <row r="21" spans="1:19" ht="12.75">
      <c r="A21" s="18" t="s">
        <v>16</v>
      </c>
      <c r="B21" s="19" t="s">
        <v>62</v>
      </c>
      <c r="C21" s="20" t="s">
        <v>62</v>
      </c>
      <c r="D21" s="21" t="s">
        <v>75</v>
      </c>
      <c r="E21" s="19" t="s">
        <v>65</v>
      </c>
      <c r="F21" s="22" t="s">
        <v>89</v>
      </c>
      <c r="G21" s="20" t="s">
        <v>85</v>
      </c>
      <c r="H21" s="23" t="s">
        <v>90</v>
      </c>
      <c r="I21" s="21" t="s">
        <v>34</v>
      </c>
      <c r="J21" s="20" t="s">
        <v>76</v>
      </c>
      <c r="K21" s="22" t="s">
        <v>91</v>
      </c>
      <c r="L21" s="20" t="s">
        <v>92</v>
      </c>
      <c r="M21" s="23" t="s">
        <v>82</v>
      </c>
      <c r="N21" s="23" t="s">
        <v>55</v>
      </c>
      <c r="O21" s="22" t="s">
        <v>130</v>
      </c>
      <c r="P21" s="18" t="s">
        <v>93</v>
      </c>
      <c r="Q21" s="21" t="s">
        <v>95</v>
      </c>
      <c r="R21" s="22" t="s">
        <v>94</v>
      </c>
      <c r="S21" s="24" t="s">
        <v>126</v>
      </c>
    </row>
    <row r="22" spans="1:19" ht="12.75">
      <c r="A22" s="25"/>
      <c r="B22" s="25"/>
      <c r="C22" s="26" t="s">
        <v>87</v>
      </c>
      <c r="D22" s="27" t="s">
        <v>88</v>
      </c>
      <c r="E22" s="25" t="s">
        <v>12</v>
      </c>
      <c r="F22" s="28" t="s">
        <v>127</v>
      </c>
      <c r="G22" s="26" t="s">
        <v>12</v>
      </c>
      <c r="H22" s="29" t="s">
        <v>15</v>
      </c>
      <c r="I22" s="27" t="s">
        <v>129</v>
      </c>
      <c r="J22" s="26" t="s">
        <v>11</v>
      </c>
      <c r="K22" s="28" t="s">
        <v>128</v>
      </c>
      <c r="L22" s="26" t="s">
        <v>11</v>
      </c>
      <c r="M22" s="29" t="s">
        <v>15</v>
      </c>
      <c r="N22" s="29" t="s">
        <v>144</v>
      </c>
      <c r="O22" s="28" t="s">
        <v>131</v>
      </c>
      <c r="P22" s="30" t="s">
        <v>45</v>
      </c>
      <c r="Q22" s="27" t="s">
        <v>45</v>
      </c>
      <c r="R22" s="28" t="s">
        <v>45</v>
      </c>
      <c r="S22" s="31" t="s">
        <v>45</v>
      </c>
    </row>
    <row r="23" spans="1:19" ht="12.75">
      <c r="A23" s="32" t="s">
        <v>86</v>
      </c>
      <c r="B23" s="32">
        <v>0.06</v>
      </c>
      <c r="C23" s="33"/>
      <c r="D23" s="34"/>
      <c r="E23" s="32"/>
      <c r="F23" s="35"/>
      <c r="G23" s="33"/>
      <c r="H23" s="36"/>
      <c r="I23" s="34">
        <v>8.8</v>
      </c>
      <c r="J23" s="33"/>
      <c r="K23" s="35"/>
      <c r="L23" s="33">
        <v>1.26</v>
      </c>
      <c r="M23" s="36"/>
      <c r="N23" s="36">
        <v>10</v>
      </c>
      <c r="O23" s="35">
        <f>10*2*L23</f>
        <v>25.2</v>
      </c>
      <c r="P23" s="37"/>
      <c r="Q23" s="34"/>
      <c r="R23" s="35"/>
      <c r="S23" s="38">
        <v>80</v>
      </c>
    </row>
    <row r="24" spans="1:19" ht="12.75">
      <c r="A24" s="37">
        <v>2002</v>
      </c>
      <c r="B24" s="32">
        <v>0.3</v>
      </c>
      <c r="C24" s="33">
        <v>1.2</v>
      </c>
      <c r="D24" s="39">
        <v>1</v>
      </c>
      <c r="E24" s="40">
        <f aca="true" t="shared" si="0" ref="E24:E30">D24*$H$16*$H$17</f>
        <v>18.75</v>
      </c>
      <c r="F24" s="41">
        <f aca="true" t="shared" si="1" ref="F24:F30">E24-I23</f>
        <v>9.95</v>
      </c>
      <c r="G24" s="33">
        <v>2.2</v>
      </c>
      <c r="H24" s="36">
        <f aca="true" t="shared" si="2" ref="H24:H30">ROUND(F24/G24,0)</f>
        <v>5</v>
      </c>
      <c r="I24" s="34">
        <f aca="true" t="shared" si="3" ref="I24:I30">H24*G24+I23</f>
        <v>19.8</v>
      </c>
      <c r="J24" s="33">
        <f aca="true" t="shared" si="4" ref="J24:J30">I24*10*(1+$M$16)</f>
        <v>217.8</v>
      </c>
      <c r="K24" s="35">
        <f aca="true" t="shared" si="5" ref="K24:K30">J24-O23</f>
        <v>192.60000000000002</v>
      </c>
      <c r="L24" s="33">
        <v>1.4</v>
      </c>
      <c r="M24" s="36">
        <f aca="true" t="shared" si="6" ref="M24:M30">ROUND((K24/(L24*2)),0)</f>
        <v>69</v>
      </c>
      <c r="N24" s="36">
        <f>M24+N23</f>
        <v>79</v>
      </c>
      <c r="O24" s="35">
        <f aca="true" t="shared" si="7" ref="O24:O30">M24*L24+O23</f>
        <v>121.8</v>
      </c>
      <c r="P24" s="37">
        <f aca="true" t="shared" si="8" ref="P24:P30">ROUND(H24*$B$17*$K$17,0)</f>
        <v>66</v>
      </c>
      <c r="Q24" s="34">
        <f aca="true" t="shared" si="9" ref="Q24:Q30">ROUND(M24*$B$16*$K$17,0)</f>
        <v>190</v>
      </c>
      <c r="R24" s="35">
        <f aca="true" t="shared" si="10" ref="R24:R30">P24+Q24</f>
        <v>256</v>
      </c>
      <c r="S24" s="38">
        <f aca="true" t="shared" si="11" ref="S24:S30">S23+R24</f>
        <v>336</v>
      </c>
    </row>
    <row r="25" spans="1:19" ht="12.75">
      <c r="A25" s="37">
        <v>2003</v>
      </c>
      <c r="B25" s="32">
        <f>C24</f>
        <v>1.2</v>
      </c>
      <c r="C25" s="33">
        <v>2.5</v>
      </c>
      <c r="D25" s="39">
        <f aca="true" t="shared" si="12" ref="D25:D30">ROUND((C24+C25)+0.5,0)/2</f>
        <v>2</v>
      </c>
      <c r="E25" s="40">
        <f t="shared" si="0"/>
        <v>37.5</v>
      </c>
      <c r="F25" s="41">
        <f t="shared" si="1"/>
        <v>17.7</v>
      </c>
      <c r="G25" s="33">
        <v>2.2</v>
      </c>
      <c r="H25" s="36">
        <f t="shared" si="2"/>
        <v>8</v>
      </c>
      <c r="I25" s="34">
        <f t="shared" si="3"/>
        <v>37.400000000000006</v>
      </c>
      <c r="J25" s="33">
        <f t="shared" si="4"/>
        <v>411.4000000000001</v>
      </c>
      <c r="K25" s="35">
        <f t="shared" si="5"/>
        <v>289.6000000000001</v>
      </c>
      <c r="L25" s="33">
        <v>2.5</v>
      </c>
      <c r="M25" s="36">
        <f t="shared" si="6"/>
        <v>58</v>
      </c>
      <c r="N25" s="36">
        <f>M25+N24</f>
        <v>137</v>
      </c>
      <c r="O25" s="35">
        <f t="shared" si="7"/>
        <v>266.8</v>
      </c>
      <c r="P25" s="37">
        <f t="shared" si="8"/>
        <v>106</v>
      </c>
      <c r="Q25" s="34">
        <f t="shared" si="9"/>
        <v>160</v>
      </c>
      <c r="R25" s="35">
        <f t="shared" si="10"/>
        <v>266</v>
      </c>
      <c r="S25" s="38">
        <f t="shared" si="11"/>
        <v>602</v>
      </c>
    </row>
    <row r="26" spans="1:19" ht="12.75">
      <c r="A26" s="37">
        <v>2004</v>
      </c>
      <c r="B26" s="32">
        <f>C25</f>
        <v>2.5</v>
      </c>
      <c r="C26" s="33">
        <v>4.1</v>
      </c>
      <c r="D26" s="39">
        <f t="shared" si="12"/>
        <v>3.5</v>
      </c>
      <c r="E26" s="40">
        <f t="shared" si="0"/>
        <v>65.625</v>
      </c>
      <c r="F26" s="41">
        <f t="shared" si="1"/>
        <v>28.224999999999994</v>
      </c>
      <c r="G26" s="33">
        <v>3.5</v>
      </c>
      <c r="H26" s="36">
        <f t="shared" si="2"/>
        <v>8</v>
      </c>
      <c r="I26" s="34">
        <f t="shared" si="3"/>
        <v>65.4</v>
      </c>
      <c r="J26" s="33">
        <f t="shared" si="4"/>
        <v>719.4000000000001</v>
      </c>
      <c r="K26" s="35">
        <f t="shared" si="5"/>
        <v>452.6000000000001</v>
      </c>
      <c r="L26" s="33">
        <v>3.5</v>
      </c>
      <c r="M26" s="36">
        <f t="shared" si="6"/>
        <v>65</v>
      </c>
      <c r="N26" s="36">
        <f>M26+N25</f>
        <v>202</v>
      </c>
      <c r="O26" s="35">
        <f t="shared" si="7"/>
        <v>494.3</v>
      </c>
      <c r="P26" s="37">
        <f t="shared" si="8"/>
        <v>106</v>
      </c>
      <c r="Q26" s="34">
        <f t="shared" si="9"/>
        <v>179</v>
      </c>
      <c r="R26" s="35">
        <f t="shared" si="10"/>
        <v>285</v>
      </c>
      <c r="S26" s="38">
        <f t="shared" si="11"/>
        <v>887</v>
      </c>
    </row>
    <row r="27" spans="1:19" ht="12.75">
      <c r="A27" s="42">
        <v>2005</v>
      </c>
      <c r="B27" s="11">
        <f>C26</f>
        <v>4.1</v>
      </c>
      <c r="C27" s="12">
        <v>7.6</v>
      </c>
      <c r="D27" s="43">
        <f t="shared" si="12"/>
        <v>6</v>
      </c>
      <c r="E27" s="44">
        <f t="shared" si="0"/>
        <v>112.5</v>
      </c>
      <c r="F27" s="45">
        <f t="shared" si="1"/>
        <v>47.099999999999994</v>
      </c>
      <c r="G27" s="12">
        <v>5.5</v>
      </c>
      <c r="H27" s="46">
        <f t="shared" si="2"/>
        <v>9</v>
      </c>
      <c r="I27" s="47">
        <f t="shared" si="3"/>
        <v>114.9</v>
      </c>
      <c r="J27" s="12">
        <f t="shared" si="4"/>
        <v>1263.9</v>
      </c>
      <c r="K27" s="48">
        <f t="shared" si="5"/>
        <v>769.6000000000001</v>
      </c>
      <c r="L27" s="12">
        <v>5</v>
      </c>
      <c r="M27" s="46">
        <f t="shared" si="6"/>
        <v>77</v>
      </c>
      <c r="N27" s="112">
        <f>M27+N26</f>
        <v>279</v>
      </c>
      <c r="O27" s="48">
        <f t="shared" si="7"/>
        <v>879.3</v>
      </c>
      <c r="P27" s="11">
        <f t="shared" si="8"/>
        <v>119</v>
      </c>
      <c r="Q27" s="49">
        <f t="shared" si="9"/>
        <v>212</v>
      </c>
      <c r="R27" s="48">
        <f t="shared" si="10"/>
        <v>331</v>
      </c>
      <c r="S27" s="49">
        <f t="shared" si="11"/>
        <v>1218</v>
      </c>
    </row>
    <row r="28" spans="1:19" ht="12.75">
      <c r="A28" s="50">
        <v>2006</v>
      </c>
      <c r="B28" s="32">
        <f>C27</f>
        <v>7.6</v>
      </c>
      <c r="C28" s="51">
        <v>11.3</v>
      </c>
      <c r="D28" s="39">
        <f t="shared" si="12"/>
        <v>9.5</v>
      </c>
      <c r="E28" s="40">
        <f t="shared" si="0"/>
        <v>178.125</v>
      </c>
      <c r="F28" s="41">
        <f t="shared" si="1"/>
        <v>63.224999999999994</v>
      </c>
      <c r="G28" s="51">
        <v>8.7</v>
      </c>
      <c r="H28" s="52">
        <f t="shared" si="2"/>
        <v>7</v>
      </c>
      <c r="I28" s="34">
        <f t="shared" si="3"/>
        <v>175.8</v>
      </c>
      <c r="J28" s="33">
        <f t="shared" si="4"/>
        <v>1933.8000000000002</v>
      </c>
      <c r="K28" s="35">
        <f t="shared" si="5"/>
        <v>1054.5000000000002</v>
      </c>
      <c r="L28" s="51">
        <v>7</v>
      </c>
      <c r="M28" s="52">
        <f t="shared" si="6"/>
        <v>75</v>
      </c>
      <c r="N28" s="113">
        <f>M28+N27</f>
        <v>354</v>
      </c>
      <c r="O28" s="35">
        <f t="shared" si="7"/>
        <v>1404.3</v>
      </c>
      <c r="P28" s="53">
        <f t="shared" si="8"/>
        <v>92</v>
      </c>
      <c r="Q28" s="54">
        <f t="shared" si="9"/>
        <v>206</v>
      </c>
      <c r="R28" s="55">
        <f t="shared" si="10"/>
        <v>298</v>
      </c>
      <c r="S28" s="38">
        <f t="shared" si="11"/>
        <v>1516</v>
      </c>
    </row>
    <row r="29" spans="1:19" ht="12.75">
      <c r="A29" s="50">
        <v>2007</v>
      </c>
      <c r="B29" s="32">
        <f>C28</f>
        <v>11.3</v>
      </c>
      <c r="C29" s="51">
        <v>15</v>
      </c>
      <c r="D29" s="39">
        <f t="shared" si="12"/>
        <v>13.5</v>
      </c>
      <c r="E29" s="40">
        <f t="shared" si="0"/>
        <v>253.125</v>
      </c>
      <c r="F29" s="41">
        <f t="shared" si="1"/>
        <v>77.32499999999999</v>
      </c>
      <c r="G29" s="33">
        <v>8.7</v>
      </c>
      <c r="H29" s="36">
        <f t="shared" si="2"/>
        <v>9</v>
      </c>
      <c r="I29" s="34">
        <f t="shared" si="3"/>
        <v>254.10000000000002</v>
      </c>
      <c r="J29" s="33">
        <f t="shared" si="4"/>
        <v>2795.1000000000004</v>
      </c>
      <c r="K29" s="35">
        <f t="shared" si="5"/>
        <v>1390.8000000000004</v>
      </c>
      <c r="L29" s="33">
        <v>9</v>
      </c>
      <c r="M29" s="36">
        <f t="shared" si="6"/>
        <v>77</v>
      </c>
      <c r="N29" s="113">
        <f>M29+N28</f>
        <v>431</v>
      </c>
      <c r="O29" s="35">
        <f t="shared" si="7"/>
        <v>2097.3</v>
      </c>
      <c r="P29" s="32">
        <f t="shared" si="8"/>
        <v>119</v>
      </c>
      <c r="Q29" s="38">
        <f t="shared" si="9"/>
        <v>212</v>
      </c>
      <c r="R29" s="35">
        <f t="shared" si="10"/>
        <v>331</v>
      </c>
      <c r="S29" s="38">
        <f t="shared" si="11"/>
        <v>1847</v>
      </c>
    </row>
    <row r="30" spans="1:19" ht="12.75">
      <c r="A30" s="56">
        <v>2008</v>
      </c>
      <c r="B30" s="14">
        <v>15</v>
      </c>
      <c r="C30" s="57">
        <v>20</v>
      </c>
      <c r="D30" s="58">
        <f t="shared" si="12"/>
        <v>18</v>
      </c>
      <c r="E30" s="59">
        <f t="shared" si="0"/>
        <v>337.5</v>
      </c>
      <c r="F30" s="60">
        <f t="shared" si="1"/>
        <v>83.39999999999998</v>
      </c>
      <c r="G30" s="57">
        <v>10</v>
      </c>
      <c r="H30" s="61">
        <f t="shared" si="2"/>
        <v>8</v>
      </c>
      <c r="I30" s="62">
        <f t="shared" si="3"/>
        <v>334.1</v>
      </c>
      <c r="J30" s="15">
        <f t="shared" si="4"/>
        <v>3675.1000000000004</v>
      </c>
      <c r="K30" s="63">
        <f t="shared" si="5"/>
        <v>1577.8000000000002</v>
      </c>
      <c r="L30" s="57">
        <v>12</v>
      </c>
      <c r="M30" s="61">
        <f t="shared" si="6"/>
        <v>66</v>
      </c>
      <c r="N30" s="114">
        <f>M30+N29</f>
        <v>497</v>
      </c>
      <c r="O30" s="63">
        <f t="shared" si="7"/>
        <v>2889.3</v>
      </c>
      <c r="P30" s="64">
        <f t="shared" si="8"/>
        <v>106</v>
      </c>
      <c r="Q30" s="65">
        <f t="shared" si="9"/>
        <v>182</v>
      </c>
      <c r="R30" s="66">
        <f t="shared" si="10"/>
        <v>288</v>
      </c>
      <c r="S30" s="17">
        <f t="shared" si="11"/>
        <v>2135</v>
      </c>
    </row>
    <row r="32" ht="12.75">
      <c r="A32" s="5" t="s">
        <v>139</v>
      </c>
    </row>
    <row r="33" spans="1:18" ht="12.75">
      <c r="A33" s="11" t="s">
        <v>16</v>
      </c>
      <c r="B33" s="12" t="s">
        <v>62</v>
      </c>
      <c r="C33" s="12" t="s">
        <v>140</v>
      </c>
      <c r="D33" s="12" t="s">
        <v>12</v>
      </c>
      <c r="E33" s="12" t="s">
        <v>96</v>
      </c>
      <c r="F33" s="12" t="s">
        <v>97</v>
      </c>
      <c r="G33" s="12" t="s">
        <v>98</v>
      </c>
      <c r="H33" s="48" t="s">
        <v>54</v>
      </c>
      <c r="I33" s="12" t="s">
        <v>99</v>
      </c>
      <c r="J33" s="12"/>
      <c r="K33" s="12"/>
      <c r="L33" s="12" t="s">
        <v>134</v>
      </c>
      <c r="M33" s="67" t="s">
        <v>117</v>
      </c>
      <c r="N33" s="47" t="s">
        <v>119</v>
      </c>
      <c r="P33" s="7"/>
      <c r="R33" s="5"/>
    </row>
    <row r="34" spans="1:18" ht="12.75">
      <c r="A34" s="32">
        <v>2001</v>
      </c>
      <c r="B34" s="33"/>
      <c r="C34" s="33"/>
      <c r="D34" s="33"/>
      <c r="E34" s="33"/>
      <c r="F34" s="33"/>
      <c r="G34" s="33"/>
      <c r="H34" s="35">
        <v>43</v>
      </c>
      <c r="I34" s="33" t="s">
        <v>112</v>
      </c>
      <c r="J34" s="33"/>
      <c r="K34" s="33"/>
      <c r="L34" s="33">
        <v>0</v>
      </c>
      <c r="M34" s="35">
        <f>H34+L34</f>
        <v>43</v>
      </c>
      <c r="N34" s="34">
        <f>M34</f>
        <v>43</v>
      </c>
      <c r="P34" s="7"/>
      <c r="R34" s="5"/>
    </row>
    <row r="35" spans="1:18" ht="12.75">
      <c r="A35" s="32" t="s">
        <v>86</v>
      </c>
      <c r="B35" s="33"/>
      <c r="C35" s="33"/>
      <c r="D35" s="33"/>
      <c r="E35" s="33"/>
      <c r="F35" s="33">
        <v>4</v>
      </c>
      <c r="G35" s="33">
        <v>10</v>
      </c>
      <c r="H35" s="35">
        <v>80</v>
      </c>
      <c r="I35" s="33" t="s">
        <v>100</v>
      </c>
      <c r="J35" s="33"/>
      <c r="K35" s="33"/>
      <c r="L35" s="33">
        <v>0</v>
      </c>
      <c r="M35" s="35">
        <f>H35+L35</f>
        <v>80</v>
      </c>
      <c r="N35" s="34">
        <f>N34+M35</f>
        <v>123</v>
      </c>
      <c r="P35" s="7"/>
      <c r="R35" s="5"/>
    </row>
    <row r="36" spans="1:18" ht="12.75">
      <c r="A36" s="32">
        <f aca="true" t="shared" si="13" ref="A36:B39">A24</f>
        <v>2002</v>
      </c>
      <c r="B36" s="33">
        <f t="shared" si="13"/>
        <v>0.3</v>
      </c>
      <c r="C36" s="68">
        <f>D24</f>
        <v>1</v>
      </c>
      <c r="D36" s="33">
        <f>I24</f>
        <v>19.8</v>
      </c>
      <c r="E36" s="33">
        <f>O24</f>
        <v>121.8</v>
      </c>
      <c r="F36" s="33">
        <f>H24</f>
        <v>5</v>
      </c>
      <c r="G36" s="33">
        <f>M24</f>
        <v>69</v>
      </c>
      <c r="H36" s="35">
        <f>R24</f>
        <v>256</v>
      </c>
      <c r="I36" s="33" t="s">
        <v>135</v>
      </c>
      <c r="J36" s="33"/>
      <c r="K36" s="33"/>
      <c r="L36" s="33">
        <v>0</v>
      </c>
      <c r="M36" s="35">
        <f>H36+L36</f>
        <v>256</v>
      </c>
      <c r="N36" s="34">
        <f>N35+M36</f>
        <v>379</v>
      </c>
      <c r="P36" s="7"/>
      <c r="R36" s="5"/>
    </row>
    <row r="37" spans="1:18" ht="12.75">
      <c r="A37" s="32">
        <f t="shared" si="13"/>
        <v>2003</v>
      </c>
      <c r="B37" s="33">
        <f t="shared" si="13"/>
        <v>1.2</v>
      </c>
      <c r="C37" s="68">
        <f>D25</f>
        <v>2</v>
      </c>
      <c r="D37" s="33">
        <f>I25</f>
        <v>37.400000000000006</v>
      </c>
      <c r="E37" s="33">
        <f>O25</f>
        <v>266.8</v>
      </c>
      <c r="F37" s="33">
        <f>H25</f>
        <v>8</v>
      </c>
      <c r="G37" s="33">
        <f>M25</f>
        <v>58</v>
      </c>
      <c r="H37" s="35">
        <f>R25</f>
        <v>266</v>
      </c>
      <c r="I37" s="33" t="s">
        <v>115</v>
      </c>
      <c r="J37" s="33"/>
      <c r="K37" s="33"/>
      <c r="L37" s="33">
        <f>ROUND(H37*0.4,0)</f>
        <v>106</v>
      </c>
      <c r="M37" s="35">
        <f>H37+L37</f>
        <v>372</v>
      </c>
      <c r="N37" s="34">
        <f>N36+M37</f>
        <v>751</v>
      </c>
      <c r="P37" s="7"/>
      <c r="Q37"/>
      <c r="R37" s="5"/>
    </row>
    <row r="38" spans="1:18" ht="12.75">
      <c r="A38" s="14">
        <f t="shared" si="13"/>
        <v>2004</v>
      </c>
      <c r="B38" s="15">
        <f t="shared" si="13"/>
        <v>2.5</v>
      </c>
      <c r="C38" s="69">
        <f>D26</f>
        <v>3.5</v>
      </c>
      <c r="D38" s="15">
        <f>I26</f>
        <v>65.4</v>
      </c>
      <c r="E38" s="15">
        <f>O26</f>
        <v>494.3</v>
      </c>
      <c r="F38" s="15">
        <f>H26</f>
        <v>8</v>
      </c>
      <c r="G38" s="15">
        <f>M26</f>
        <v>65</v>
      </c>
      <c r="H38" s="63">
        <f>R26</f>
        <v>285</v>
      </c>
      <c r="I38" s="15" t="s">
        <v>116</v>
      </c>
      <c r="J38" s="15"/>
      <c r="K38" s="15"/>
      <c r="L38" s="15">
        <f>ROUND(H38*0.4,0)</f>
        <v>114</v>
      </c>
      <c r="M38" s="63">
        <f>H38+L38</f>
        <v>399</v>
      </c>
      <c r="N38" s="62">
        <f>N37+M38</f>
        <v>1150</v>
      </c>
      <c r="P38" s="7"/>
      <c r="R38" s="5"/>
    </row>
    <row r="39" spans="1:18" ht="12.75">
      <c r="A39" s="11">
        <f t="shared" si="13"/>
        <v>2005</v>
      </c>
      <c r="B39" s="12">
        <f t="shared" si="13"/>
        <v>4.1</v>
      </c>
      <c r="C39" s="115">
        <f>D27</f>
        <v>6</v>
      </c>
      <c r="D39" s="12">
        <f>I27</f>
        <v>114.9</v>
      </c>
      <c r="E39" s="12">
        <f>O27</f>
        <v>879.3</v>
      </c>
      <c r="F39" s="12">
        <f>H27</f>
        <v>9</v>
      </c>
      <c r="G39" s="12">
        <f>M27</f>
        <v>77</v>
      </c>
      <c r="H39" s="48">
        <f>R27</f>
        <v>331</v>
      </c>
      <c r="I39" s="12" t="s">
        <v>145</v>
      </c>
      <c r="J39" s="12"/>
      <c r="K39" s="12"/>
      <c r="L39" s="12">
        <f>ROUND(H39*0.4,0)</f>
        <v>132</v>
      </c>
      <c r="M39" s="48">
        <f>H39+L39</f>
        <v>463</v>
      </c>
      <c r="N39" s="47">
        <f>N38+M39</f>
        <v>1613</v>
      </c>
      <c r="P39" s="7"/>
      <c r="R39" s="5"/>
    </row>
    <row r="40" spans="1:18" ht="12.75">
      <c r="A40" s="32">
        <f>A28</f>
        <v>2006</v>
      </c>
      <c r="B40" s="33">
        <f>B28</f>
        <v>7.6</v>
      </c>
      <c r="C40" s="68">
        <f>D28</f>
        <v>9.5</v>
      </c>
      <c r="D40" s="33">
        <f>I28</f>
        <v>175.8</v>
      </c>
      <c r="E40" s="33">
        <f>O28</f>
        <v>1404.3</v>
      </c>
      <c r="F40" s="33">
        <f>H28</f>
        <v>7</v>
      </c>
      <c r="G40" s="33">
        <f>M28</f>
        <v>75</v>
      </c>
      <c r="H40" s="35">
        <f>R28</f>
        <v>298</v>
      </c>
      <c r="I40" s="33" t="s">
        <v>145</v>
      </c>
      <c r="J40" s="33"/>
      <c r="K40" s="33"/>
      <c r="L40" s="33">
        <f>ROUND(H40*0.4,0)</f>
        <v>119</v>
      </c>
      <c r="M40" s="35">
        <f>H40+L40</f>
        <v>417</v>
      </c>
      <c r="N40" s="34">
        <f>N39+M40</f>
        <v>2030</v>
      </c>
      <c r="P40" s="7"/>
      <c r="R40" s="5"/>
    </row>
    <row r="41" spans="1:18" ht="12.75">
      <c r="A41" s="32">
        <f>A29</f>
        <v>2007</v>
      </c>
      <c r="B41" s="33">
        <f>B29</f>
        <v>11.3</v>
      </c>
      <c r="C41" s="68">
        <f>D29</f>
        <v>13.5</v>
      </c>
      <c r="D41" s="33">
        <f>I29</f>
        <v>254.10000000000002</v>
      </c>
      <c r="E41" s="33">
        <f>O29</f>
        <v>2097.3</v>
      </c>
      <c r="F41" s="33">
        <f>H29</f>
        <v>9</v>
      </c>
      <c r="G41" s="33">
        <f>M29</f>
        <v>77</v>
      </c>
      <c r="H41" s="35">
        <f>R29</f>
        <v>331</v>
      </c>
      <c r="I41" s="33" t="s">
        <v>145</v>
      </c>
      <c r="J41" s="33"/>
      <c r="K41" s="33"/>
      <c r="L41" s="33">
        <f>ROUND(H41*0.4,0)</f>
        <v>132</v>
      </c>
      <c r="M41" s="35">
        <f>H41+L41</f>
        <v>463</v>
      </c>
      <c r="N41" s="34">
        <f>N40+M41</f>
        <v>2493</v>
      </c>
      <c r="P41" s="7"/>
      <c r="R41" s="5"/>
    </row>
    <row r="42" spans="1:18" ht="12.75">
      <c r="A42" s="14">
        <f>A30</f>
        <v>2008</v>
      </c>
      <c r="B42" s="15">
        <f>B30</f>
        <v>15</v>
      </c>
      <c r="C42" s="69">
        <f>D30</f>
        <v>18</v>
      </c>
      <c r="D42" s="15">
        <f>I30</f>
        <v>334.1</v>
      </c>
      <c r="E42" s="15">
        <f>O30</f>
        <v>2889.3</v>
      </c>
      <c r="F42" s="15">
        <f>H30</f>
        <v>8</v>
      </c>
      <c r="G42" s="15">
        <f>M30</f>
        <v>66</v>
      </c>
      <c r="H42" s="63">
        <f>R30</f>
        <v>288</v>
      </c>
      <c r="I42" s="15" t="s">
        <v>145</v>
      </c>
      <c r="J42" s="15"/>
      <c r="K42" s="15"/>
      <c r="L42" s="15">
        <f>ROUND(H42*0.4,0)</f>
        <v>115</v>
      </c>
      <c r="M42" s="63">
        <f>H42+L42</f>
        <v>403</v>
      </c>
      <c r="N42" s="62">
        <f>N41+M42</f>
        <v>2896</v>
      </c>
      <c r="P42" s="7"/>
      <c r="R42" s="5"/>
    </row>
    <row r="44" ht="12.75">
      <c r="A44" s="5" t="s">
        <v>113</v>
      </c>
    </row>
    <row r="45" spans="1:10" ht="12.75">
      <c r="A45" s="5" t="s">
        <v>120</v>
      </c>
      <c r="J45" s="5">
        <f>P25</f>
        <v>106</v>
      </c>
    </row>
    <row r="46" spans="1:10" ht="12.75">
      <c r="A46" s="5" t="s">
        <v>121</v>
      </c>
      <c r="E46" s="70"/>
      <c r="J46" s="5">
        <f>R25</f>
        <v>266</v>
      </c>
    </row>
    <row r="47" spans="1:10" ht="12.75">
      <c r="A47" s="5" t="s">
        <v>123</v>
      </c>
      <c r="J47" s="5">
        <f>P26</f>
        <v>106</v>
      </c>
    </row>
    <row r="48" spans="1:10" ht="12.75">
      <c r="A48" s="5" t="s">
        <v>122</v>
      </c>
      <c r="J48" s="5">
        <f>J46+J47</f>
        <v>372</v>
      </c>
    </row>
    <row r="49" ht="12.75">
      <c r="A49" s="5" t="s">
        <v>114</v>
      </c>
    </row>
    <row r="50" ht="12.75">
      <c r="A50" s="5" t="s">
        <v>124</v>
      </c>
    </row>
    <row r="54" spans="1:2" ht="12.75">
      <c r="A54" s="5" t="s">
        <v>132</v>
      </c>
      <c r="B54" s="5" t="s">
        <v>157</v>
      </c>
    </row>
    <row r="55" ht="12.75">
      <c r="E55" s="6"/>
    </row>
    <row r="56" spans="1:18" ht="12.75">
      <c r="A56" s="164" t="s">
        <v>16</v>
      </c>
      <c r="B56" s="150" t="s">
        <v>150</v>
      </c>
      <c r="C56" s="153"/>
      <c r="D56" s="153"/>
      <c r="E56" s="154"/>
      <c r="F56" s="150" t="s">
        <v>149</v>
      </c>
      <c r="G56" s="151"/>
      <c r="H56" s="152"/>
      <c r="I56" s="102" t="s">
        <v>156</v>
      </c>
      <c r="J56" s="167" t="s">
        <v>133</v>
      </c>
      <c r="K56" s="168"/>
      <c r="Q56" s="7"/>
      <c r="R56" s="5"/>
    </row>
    <row r="57" spans="1:18" ht="12.75" customHeight="1">
      <c r="A57" s="165"/>
      <c r="B57" s="92" t="s">
        <v>151</v>
      </c>
      <c r="C57" s="93"/>
      <c r="D57" s="99" t="s">
        <v>152</v>
      </c>
      <c r="E57" s="100"/>
      <c r="F57" s="102" t="s">
        <v>148</v>
      </c>
      <c r="G57" s="102" t="s">
        <v>147</v>
      </c>
      <c r="H57" s="102" t="s">
        <v>146</v>
      </c>
      <c r="I57" s="162"/>
      <c r="J57" s="169"/>
      <c r="K57" s="170"/>
      <c r="R57" s="5"/>
    </row>
    <row r="58" spans="1:18" ht="12.75">
      <c r="A58" s="166"/>
      <c r="B58" s="94"/>
      <c r="C58" s="95"/>
      <c r="D58" s="101"/>
      <c r="E58" s="100"/>
      <c r="F58" s="149"/>
      <c r="G58" s="149"/>
      <c r="H58" s="149"/>
      <c r="I58" s="163"/>
      <c r="J58" s="171"/>
      <c r="K58" s="172"/>
      <c r="R58" s="5"/>
    </row>
    <row r="59" spans="1:18" ht="15.75">
      <c r="A59" s="126">
        <v>2001</v>
      </c>
      <c r="B59" s="127" t="s">
        <v>143</v>
      </c>
      <c r="C59" s="128"/>
      <c r="D59" s="129"/>
      <c r="E59" s="130"/>
      <c r="F59" s="135">
        <v>0.6</v>
      </c>
      <c r="G59" s="135">
        <v>0</v>
      </c>
      <c r="H59" s="145"/>
      <c r="I59" s="155"/>
      <c r="J59" s="131">
        <f>M34</f>
        <v>43</v>
      </c>
      <c r="K59" s="132"/>
      <c r="R59" s="5"/>
    </row>
    <row r="60" spans="1:18" ht="15.75">
      <c r="A60" s="71">
        <f aca="true" t="shared" si="14" ref="A60:B62">A24</f>
        <v>2002</v>
      </c>
      <c r="B60" s="96">
        <f t="shared" si="14"/>
        <v>0.3</v>
      </c>
      <c r="C60" s="96"/>
      <c r="D60" s="103">
        <f>D24</f>
        <v>1</v>
      </c>
      <c r="E60" s="104"/>
      <c r="F60" s="136">
        <f>ROUND(I24/10,0)*10</f>
        <v>20</v>
      </c>
      <c r="G60" s="136">
        <f>ROUND(N24/10,0)*10</f>
        <v>80</v>
      </c>
      <c r="H60" s="146">
        <f>R24+H35</f>
        <v>336</v>
      </c>
      <c r="I60" s="156">
        <f>L36</f>
        <v>0</v>
      </c>
      <c r="J60" s="107">
        <f>M36+M35</f>
        <v>336</v>
      </c>
      <c r="K60" s="108"/>
      <c r="R60" s="5"/>
    </row>
    <row r="61" spans="1:18" ht="15.75">
      <c r="A61" s="72">
        <f t="shared" si="14"/>
        <v>2003</v>
      </c>
      <c r="B61" s="88">
        <f t="shared" si="14"/>
        <v>1.2</v>
      </c>
      <c r="C61" s="88"/>
      <c r="D61" s="105">
        <f>D25</f>
        <v>2</v>
      </c>
      <c r="E61" s="106"/>
      <c r="F61" s="137">
        <f>ROUND(I25/10,0)*10</f>
        <v>40</v>
      </c>
      <c r="G61" s="137">
        <f>ROUND(N25/10,0)*10</f>
        <v>140</v>
      </c>
      <c r="H61" s="147">
        <f>R25</f>
        <v>266</v>
      </c>
      <c r="I61" s="157">
        <f>L37</f>
        <v>106</v>
      </c>
      <c r="J61" s="109">
        <f>M37</f>
        <v>372</v>
      </c>
      <c r="K61" s="110"/>
      <c r="R61" s="5"/>
    </row>
    <row r="62" spans="1:18" ht="15.75">
      <c r="A62" s="116">
        <f t="shared" si="14"/>
        <v>2004</v>
      </c>
      <c r="B62" s="117">
        <f t="shared" si="14"/>
        <v>2.5</v>
      </c>
      <c r="C62" s="117"/>
      <c r="D62" s="118">
        <f>D26</f>
        <v>3.5</v>
      </c>
      <c r="E62" s="119"/>
      <c r="F62" s="138">
        <f>ROUND(I26/10,0)*10</f>
        <v>70</v>
      </c>
      <c r="G62" s="138">
        <f>ROUND(N26/10,0)*10</f>
        <v>200</v>
      </c>
      <c r="H62" s="148">
        <f>R26</f>
        <v>285</v>
      </c>
      <c r="I62" s="158">
        <f>L38</f>
        <v>114</v>
      </c>
      <c r="J62" s="120">
        <f>M38</f>
        <v>399</v>
      </c>
      <c r="K62" s="175"/>
      <c r="R62" s="5"/>
    </row>
    <row r="63" spans="1:18" ht="15.75">
      <c r="A63" s="173" t="s">
        <v>153</v>
      </c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21">
        <f>SUM(M34:M38)</f>
        <v>1150</v>
      </c>
      <c r="M63" s="122"/>
      <c r="R63" s="5"/>
    </row>
    <row r="64" spans="1:18" ht="15.75">
      <c r="A64" s="73">
        <f>A27</f>
        <v>2005</v>
      </c>
      <c r="B64" s="89">
        <f>B27</f>
        <v>4.1</v>
      </c>
      <c r="C64" s="89"/>
      <c r="D64" s="90">
        <f>D27</f>
        <v>6</v>
      </c>
      <c r="E64" s="91"/>
      <c r="F64" s="139">
        <f>ROUND(I27/10,0)*10</f>
        <v>110</v>
      </c>
      <c r="G64" s="139">
        <f>ROUND(N27/10,0)*10</f>
        <v>280</v>
      </c>
      <c r="H64" s="142">
        <f>R27</f>
        <v>331</v>
      </c>
      <c r="I64" s="159">
        <f>L39</f>
        <v>132</v>
      </c>
      <c r="J64" s="85">
        <f>M39</f>
        <v>463</v>
      </c>
      <c r="K64" s="86"/>
      <c r="R64" s="5"/>
    </row>
    <row r="65" spans="1:18" ht="15.75">
      <c r="A65" s="74">
        <f>A28</f>
        <v>2006</v>
      </c>
      <c r="B65" s="87">
        <f>B28</f>
        <v>7.6</v>
      </c>
      <c r="C65" s="87"/>
      <c r="D65" s="81">
        <f>D28</f>
        <v>9.5</v>
      </c>
      <c r="E65" s="82"/>
      <c r="F65" s="140">
        <f>ROUND(I28/10,0)*10</f>
        <v>180</v>
      </c>
      <c r="G65" s="140">
        <f>ROUND(N28/10,0)*10</f>
        <v>350</v>
      </c>
      <c r="H65" s="143">
        <f>R28</f>
        <v>298</v>
      </c>
      <c r="I65" s="160">
        <f>L40</f>
        <v>119</v>
      </c>
      <c r="J65" s="76">
        <f>M40</f>
        <v>417</v>
      </c>
      <c r="K65" s="77"/>
      <c r="R65" s="5"/>
    </row>
    <row r="66" spans="1:18" ht="15.75">
      <c r="A66" s="74">
        <f>A29</f>
        <v>2007</v>
      </c>
      <c r="B66" s="87">
        <f>B29</f>
        <v>11.3</v>
      </c>
      <c r="C66" s="87"/>
      <c r="D66" s="81">
        <f>D29</f>
        <v>13.5</v>
      </c>
      <c r="E66" s="82"/>
      <c r="F66" s="140">
        <f>ROUND(I29/10,0)*10</f>
        <v>250</v>
      </c>
      <c r="G66" s="140">
        <f>ROUND(N29/10,0)*10</f>
        <v>430</v>
      </c>
      <c r="H66" s="143">
        <f>R29</f>
        <v>331</v>
      </c>
      <c r="I66" s="160">
        <f>L41</f>
        <v>132</v>
      </c>
      <c r="J66" s="76">
        <f>M41</f>
        <v>463</v>
      </c>
      <c r="K66" s="77"/>
      <c r="R66" s="5"/>
    </row>
    <row r="67" spans="1:18" ht="15.75">
      <c r="A67" s="75">
        <f>A30</f>
        <v>2008</v>
      </c>
      <c r="B67" s="80">
        <f>B30</f>
        <v>15</v>
      </c>
      <c r="C67" s="80"/>
      <c r="D67" s="83">
        <f>D30</f>
        <v>18</v>
      </c>
      <c r="E67" s="84"/>
      <c r="F67" s="141">
        <f>ROUND(I30/10,0)*10</f>
        <v>330</v>
      </c>
      <c r="G67" s="141">
        <f>ROUND(N30/10,0)*10</f>
        <v>500</v>
      </c>
      <c r="H67" s="144">
        <f>R30</f>
        <v>288</v>
      </c>
      <c r="I67" s="161">
        <f>L42</f>
        <v>115</v>
      </c>
      <c r="J67" s="78">
        <f>M42</f>
        <v>403</v>
      </c>
      <c r="K67" s="79"/>
      <c r="R67" s="5"/>
    </row>
    <row r="68" spans="1:18" ht="15.75">
      <c r="A68" s="173" t="s">
        <v>154</v>
      </c>
      <c r="B68" s="174"/>
      <c r="C68" s="174"/>
      <c r="D68" s="174"/>
      <c r="E68" s="174"/>
      <c r="F68" s="174"/>
      <c r="G68" s="174"/>
      <c r="H68" s="174"/>
      <c r="I68" s="174"/>
      <c r="J68" s="174"/>
      <c r="K68" s="174"/>
      <c r="L68" s="121">
        <f>SUM(M39:M42)</f>
        <v>1746</v>
      </c>
      <c r="M68" s="123"/>
      <c r="P68" s="7"/>
      <c r="R68" s="5"/>
    </row>
    <row r="69" spans="1:18" ht="15.75">
      <c r="A69" s="133" t="s">
        <v>155</v>
      </c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24">
        <f>L63+L68</f>
        <v>2896</v>
      </c>
      <c r="M69" s="125"/>
      <c r="P69" s="7"/>
      <c r="R69" s="5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6" spans="1:6" ht="12.75">
      <c r="A76"/>
      <c r="B76"/>
      <c r="C76"/>
      <c r="D76"/>
      <c r="E76"/>
      <c r="F76"/>
    </row>
    <row r="77" spans="1:6" ht="12.75">
      <c r="A77"/>
      <c r="B77"/>
      <c r="C77"/>
      <c r="D77"/>
      <c r="E77"/>
      <c r="F77"/>
    </row>
  </sheetData>
  <mergeCells count="37">
    <mergeCell ref="B56:E56"/>
    <mergeCell ref="I56:I58"/>
    <mergeCell ref="J56:K58"/>
    <mergeCell ref="A56:A58"/>
    <mergeCell ref="L63:M63"/>
    <mergeCell ref="L68:M68"/>
    <mergeCell ref="L69:M69"/>
    <mergeCell ref="J60:K60"/>
    <mergeCell ref="J61:K61"/>
    <mergeCell ref="J62:K62"/>
    <mergeCell ref="F57:F58"/>
    <mergeCell ref="G57:G58"/>
    <mergeCell ref="H57:H58"/>
    <mergeCell ref="D61:E61"/>
    <mergeCell ref="D62:E62"/>
    <mergeCell ref="D60:E60"/>
    <mergeCell ref="J59:K59"/>
    <mergeCell ref="K1:L1"/>
    <mergeCell ref="B59:E59"/>
    <mergeCell ref="B64:C64"/>
    <mergeCell ref="D64:E64"/>
    <mergeCell ref="B57:C58"/>
    <mergeCell ref="B60:C60"/>
    <mergeCell ref="D57:E58"/>
    <mergeCell ref="B61:C61"/>
    <mergeCell ref="B62:C62"/>
    <mergeCell ref="J64:K64"/>
    <mergeCell ref="B65:C65"/>
    <mergeCell ref="B66:C66"/>
    <mergeCell ref="B67:C67"/>
    <mergeCell ref="D65:E65"/>
    <mergeCell ref="D66:E66"/>
    <mergeCell ref="D67:E67"/>
    <mergeCell ref="J65:K65"/>
    <mergeCell ref="J66:K66"/>
    <mergeCell ref="J67:K67"/>
    <mergeCell ref="F56:H56"/>
  </mergeCells>
  <printOptions gridLines="1" headings="1"/>
  <pageMargins left="0.35" right="0.75" top="0.55" bottom="0.54" header="0.5" footer="0.5"/>
  <pageSetup horizontalDpi="300" verticalDpi="300" orientation="landscape" paperSize="9" scale="77" r:id="rId1"/>
  <rowBreaks count="1" manualBreakCount="1">
    <brk id="5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INFN - Trieste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Belforte</dc:creator>
  <cp:keywords/>
  <dc:description/>
  <cp:lastModifiedBy>Stefano Belforte</cp:lastModifiedBy>
  <cp:lastPrinted>2002-06-16T21:13:55Z</cp:lastPrinted>
  <dcterms:created xsi:type="dcterms:W3CDTF">2002-05-08T11:27:04Z</dcterms:created>
  <dcterms:modified xsi:type="dcterms:W3CDTF">2002-06-16T22:55:03Z</dcterms:modified>
  <cp:category/>
  <cp:version/>
  <cp:contentType/>
  <cp:contentStatus/>
</cp:coreProperties>
</file>